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54.3\Server2021\03 Чикарилган хатлар\__2023 йил\331-фармойиш\1.01.2023\Akbarjonov\Бухгалтерия\"/>
    </mc:Choice>
  </mc:AlternateContent>
  <xr:revisionPtr revIDLastSave="0" documentId="8_{68EF3C3D-7332-427E-8CCD-2985C3A34CBC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Печатга" sheetId="22" r:id="rId1"/>
    <sheet name="РЕСПУБЛИКА" sheetId="20" r:id="rId2"/>
    <sheet name="ОПЕРУ" sheetId="1" r:id="rId3"/>
    <sheet name="00075+" sheetId="16" r:id="rId4"/>
    <sheet name="00086+" sheetId="15" r:id="rId5"/>
    <sheet name="00868+" sheetId="14" r:id="rId6"/>
    <sheet name="00224+" sheetId="12" r:id="rId7"/>
    <sheet name="00207+" sheetId="13" r:id="rId8"/>
    <sheet name="00854" sheetId="11" r:id="rId9"/>
    <sheet name="00317" sheetId="10" r:id="rId10"/>
    <sheet name="01045" sheetId="9" r:id="rId11"/>
    <sheet name="00490" sheetId="8" r:id="rId12"/>
    <sheet name="00424" sheetId="7" r:id="rId13"/>
    <sheet name="00853" sheetId="5" r:id="rId14"/>
    <sheet name="00494" sheetId="6" r:id="rId15"/>
    <sheet name="00855" sheetId="19" r:id="rId16"/>
    <sheet name="01152" sheetId="17" r:id="rId17"/>
  </sheets>
  <definedNames>
    <definedName name="_xlnm._FilterDatabase" localSheetId="1" hidden="1">РЕСПУБЛИКА!$A$5:$K$166</definedName>
    <definedName name="_xlnm.Print_Titles" localSheetId="2">ОПЕРУ!$3:$5</definedName>
    <definedName name="_xlnm.Print_Titles" localSheetId="1">РЕСПУБЛИКА!$5:$5</definedName>
  </definedNames>
  <calcPr calcId="191029"/>
</workbook>
</file>

<file path=xl/calcChain.xml><?xml version="1.0" encoding="utf-8"?>
<calcChain xmlns="http://schemas.openxmlformats.org/spreadsheetml/2006/main">
  <c r="E173" i="22" l="1"/>
  <c r="E171" i="22"/>
  <c r="E138" i="22"/>
  <c r="D99" i="1"/>
  <c r="D97" i="1"/>
  <c r="D94" i="1"/>
  <c r="D166" i="1"/>
  <c r="D143" i="20"/>
  <c r="D144" i="20"/>
  <c r="C143" i="20"/>
  <c r="C144" i="20"/>
  <c r="D101" i="20"/>
  <c r="C101" i="20"/>
  <c r="D59" i="17"/>
  <c r="P59" i="6"/>
  <c r="L59" i="6"/>
  <c r="H59" i="6"/>
  <c r="D59" i="5"/>
  <c r="BD59" i="7"/>
  <c r="AZ59" i="7"/>
  <c r="AV59" i="7"/>
  <c r="AR59" i="7"/>
  <c r="AN59" i="7"/>
  <c r="AF59" i="7"/>
  <c r="AB59" i="7"/>
  <c r="T59" i="7"/>
  <c r="P59" i="7"/>
  <c r="L59" i="7"/>
  <c r="H59" i="7"/>
  <c r="AB59" i="8"/>
  <c r="X59" i="8"/>
  <c r="P59" i="8"/>
  <c r="H59" i="8"/>
  <c r="L59" i="9"/>
  <c r="H59" i="9"/>
  <c r="H59" i="10"/>
  <c r="H59" i="11"/>
  <c r="D59" i="12"/>
  <c r="P59" i="14"/>
  <c r="L59" i="14"/>
  <c r="P59" i="15"/>
  <c r="H59" i="15"/>
  <c r="H59" i="16"/>
  <c r="D59" i="1"/>
  <c r="D133" i="1" l="1"/>
  <c r="D113" i="1"/>
  <c r="D112" i="1"/>
  <c r="C163" i="20" l="1"/>
  <c r="C59" i="14"/>
  <c r="C59" i="10"/>
  <c r="C59" i="7"/>
  <c r="D59" i="8"/>
  <c r="C59" i="8"/>
  <c r="D59" i="7"/>
  <c r="I60" i="6"/>
  <c r="J60" i="6"/>
  <c r="K60" i="6"/>
  <c r="M60" i="6"/>
  <c r="N60" i="6"/>
  <c r="O60" i="6"/>
  <c r="Q60" i="6"/>
  <c r="R60" i="6"/>
  <c r="G60" i="6"/>
  <c r="D59" i="6"/>
  <c r="E59" i="6"/>
  <c r="F59" i="6"/>
  <c r="C59" i="6"/>
  <c r="I60" i="16"/>
  <c r="J60" i="16"/>
  <c r="K60" i="16"/>
  <c r="M60" i="16"/>
  <c r="N60" i="16"/>
  <c r="O60" i="16"/>
  <c r="Q60" i="16"/>
  <c r="R60" i="16"/>
  <c r="G60" i="16"/>
  <c r="D59" i="16"/>
  <c r="E59" i="16"/>
  <c r="F59" i="16"/>
  <c r="C58" i="16"/>
  <c r="C59" i="16"/>
  <c r="I60" i="9"/>
  <c r="J60" i="9"/>
  <c r="M60" i="9"/>
  <c r="N60" i="9"/>
  <c r="D58" i="9"/>
  <c r="E58" i="9"/>
  <c r="F58" i="9"/>
  <c r="D59" i="9"/>
  <c r="E59" i="9"/>
  <c r="F59" i="9"/>
  <c r="C59" i="9"/>
  <c r="I60" i="11"/>
  <c r="J60" i="11"/>
  <c r="M60" i="11"/>
  <c r="N60" i="11"/>
  <c r="D58" i="11"/>
  <c r="E58" i="11"/>
  <c r="F58" i="11"/>
  <c r="D59" i="11"/>
  <c r="E59" i="11"/>
  <c r="F59" i="11"/>
  <c r="C59" i="11"/>
  <c r="O60" i="15"/>
  <c r="N60" i="15"/>
  <c r="M60" i="15"/>
  <c r="K60" i="15"/>
  <c r="J60" i="15"/>
  <c r="I60" i="15"/>
  <c r="G60" i="15"/>
  <c r="F59" i="15"/>
  <c r="E59" i="15"/>
  <c r="D59" i="15"/>
  <c r="C59" i="15"/>
  <c r="G60" i="14"/>
  <c r="F59" i="14"/>
  <c r="E59" i="14"/>
  <c r="D59" i="14"/>
  <c r="C60" i="12"/>
  <c r="C60" i="5"/>
  <c r="N60" i="10"/>
  <c r="M60" i="10"/>
  <c r="I60" i="10"/>
  <c r="F59" i="10"/>
  <c r="E59" i="10"/>
  <c r="D59" i="10"/>
  <c r="F59" i="8"/>
  <c r="E59" i="8"/>
  <c r="G60" i="7"/>
  <c r="F59" i="7"/>
  <c r="E59" i="7"/>
  <c r="D58" i="7"/>
  <c r="E58" i="7"/>
  <c r="F58" i="7"/>
  <c r="F60" i="1"/>
  <c r="F60" i="12"/>
  <c r="F60" i="13"/>
  <c r="F60" i="5"/>
  <c r="F60" i="19"/>
  <c r="F60" i="17"/>
  <c r="E60" i="1"/>
  <c r="E60" i="12"/>
  <c r="E60" i="13"/>
  <c r="E60" i="5"/>
  <c r="E60" i="19"/>
  <c r="E60" i="17"/>
  <c r="C60" i="13"/>
  <c r="C60" i="19"/>
  <c r="C60" i="17"/>
  <c r="C12" i="17"/>
  <c r="D166" i="17"/>
  <c r="C166" i="17"/>
  <c r="E166" i="17"/>
  <c r="F166" i="17"/>
  <c r="D133" i="17"/>
  <c r="E133" i="17"/>
  <c r="F133" i="17"/>
  <c r="E92" i="17"/>
  <c r="F92" i="17"/>
  <c r="D77" i="17"/>
  <c r="E77" i="17"/>
  <c r="F77" i="17"/>
  <c r="E73" i="17"/>
  <c r="F73" i="17"/>
  <c r="E48" i="17"/>
  <c r="F48" i="17"/>
  <c r="D12" i="17"/>
  <c r="E12" i="17"/>
  <c r="F12" i="17"/>
  <c r="D166" i="19"/>
  <c r="E166" i="19"/>
  <c r="F166" i="19"/>
  <c r="C166" i="19"/>
  <c r="E133" i="19"/>
  <c r="F133" i="19"/>
  <c r="C133" i="19"/>
  <c r="E92" i="19"/>
  <c r="F92" i="19"/>
  <c r="D77" i="19"/>
  <c r="E77" i="19"/>
  <c r="F77" i="19"/>
  <c r="E73" i="19"/>
  <c r="F73" i="19"/>
  <c r="C73" i="19"/>
  <c r="E48" i="19"/>
  <c r="F48" i="19"/>
  <c r="D12" i="19"/>
  <c r="E12" i="19"/>
  <c r="F12" i="19"/>
  <c r="G166" i="6"/>
  <c r="H166" i="6"/>
  <c r="I166" i="6"/>
  <c r="J166" i="6"/>
  <c r="K166" i="6"/>
  <c r="L166" i="6"/>
  <c r="M166" i="6"/>
  <c r="N166" i="6"/>
  <c r="O166" i="6"/>
  <c r="P166" i="6"/>
  <c r="Q166" i="6"/>
  <c r="R166" i="6"/>
  <c r="G133" i="6"/>
  <c r="I133" i="6"/>
  <c r="J133" i="6"/>
  <c r="K133" i="6"/>
  <c r="M133" i="6"/>
  <c r="N133" i="6"/>
  <c r="O133" i="6"/>
  <c r="Q133" i="6"/>
  <c r="R133" i="6"/>
  <c r="G92" i="6"/>
  <c r="I92" i="6"/>
  <c r="J92" i="6"/>
  <c r="K92" i="6"/>
  <c r="M92" i="6"/>
  <c r="N92" i="6"/>
  <c r="O92" i="6"/>
  <c r="Q92" i="6"/>
  <c r="R92" i="6"/>
  <c r="G77" i="6"/>
  <c r="I77" i="6"/>
  <c r="J77" i="6"/>
  <c r="K77" i="6"/>
  <c r="L77" i="6"/>
  <c r="M77" i="6"/>
  <c r="N77" i="6"/>
  <c r="O77" i="6"/>
  <c r="P77" i="6"/>
  <c r="Q77" i="6"/>
  <c r="R77" i="6"/>
  <c r="G73" i="6"/>
  <c r="I73" i="6"/>
  <c r="J73" i="6"/>
  <c r="K73" i="6"/>
  <c r="M73" i="6"/>
  <c r="N73" i="6"/>
  <c r="O73" i="6"/>
  <c r="Q73" i="6"/>
  <c r="R73" i="6"/>
  <c r="I48" i="6"/>
  <c r="J48" i="6"/>
  <c r="M48" i="6"/>
  <c r="N48" i="6"/>
  <c r="Q48" i="6"/>
  <c r="R48" i="6"/>
  <c r="G12" i="6"/>
  <c r="H12" i="6"/>
  <c r="I12" i="6"/>
  <c r="J12" i="6"/>
  <c r="K12" i="6"/>
  <c r="L12" i="6"/>
  <c r="M12" i="6"/>
  <c r="N12" i="6"/>
  <c r="O12" i="6"/>
  <c r="P12" i="6"/>
  <c r="Q12" i="6"/>
  <c r="R12" i="6"/>
  <c r="D166" i="5"/>
  <c r="E166" i="5"/>
  <c r="F166" i="5"/>
  <c r="E133" i="5"/>
  <c r="F133" i="5"/>
  <c r="E92" i="5"/>
  <c r="F92" i="5"/>
  <c r="E77" i="5"/>
  <c r="F77" i="5"/>
  <c r="E73" i="5"/>
  <c r="F73" i="5"/>
  <c r="E48" i="5"/>
  <c r="F48" i="5"/>
  <c r="D12" i="5"/>
  <c r="E12" i="5"/>
  <c r="F12" i="5"/>
  <c r="C12" i="5"/>
  <c r="G166" i="7"/>
  <c r="H166" i="7"/>
  <c r="I166" i="7"/>
  <c r="J166" i="7"/>
  <c r="K166" i="7"/>
  <c r="L166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AD166" i="7"/>
  <c r="AE166" i="7"/>
  <c r="AF166" i="7"/>
  <c r="AG166" i="7"/>
  <c r="AH166" i="7"/>
  <c r="AI166" i="7"/>
  <c r="AJ166" i="7"/>
  <c r="AK166" i="7"/>
  <c r="AL166" i="7"/>
  <c r="AM166" i="7"/>
  <c r="AN166" i="7"/>
  <c r="AO166" i="7"/>
  <c r="AP166" i="7"/>
  <c r="AQ166" i="7"/>
  <c r="AR166" i="7"/>
  <c r="AS166" i="7"/>
  <c r="AT166" i="7"/>
  <c r="AU166" i="7"/>
  <c r="AV166" i="7"/>
  <c r="AW166" i="7"/>
  <c r="AX166" i="7"/>
  <c r="AY166" i="7"/>
  <c r="AZ166" i="7"/>
  <c r="BA166" i="7"/>
  <c r="BB166" i="7"/>
  <c r="BC166" i="7"/>
  <c r="BD166" i="7"/>
  <c r="BE166" i="7"/>
  <c r="BF166" i="7"/>
  <c r="BG166" i="7"/>
  <c r="BH166" i="7"/>
  <c r="BI166" i="7"/>
  <c r="BJ166" i="7"/>
  <c r="G133" i="7"/>
  <c r="I133" i="7"/>
  <c r="J133" i="7"/>
  <c r="K133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AC133" i="7"/>
  <c r="AD133" i="7"/>
  <c r="AE133" i="7"/>
  <c r="AF133" i="7"/>
  <c r="AG133" i="7"/>
  <c r="AH133" i="7"/>
  <c r="AI133" i="7"/>
  <c r="AJ133" i="7"/>
  <c r="AK133" i="7"/>
  <c r="AL133" i="7"/>
  <c r="AM133" i="7"/>
  <c r="AO133" i="7"/>
  <c r="AP133" i="7"/>
  <c r="AQ133" i="7"/>
  <c r="AR133" i="7"/>
  <c r="AS133" i="7"/>
  <c r="AT133" i="7"/>
  <c r="AU133" i="7"/>
  <c r="AV133" i="7"/>
  <c r="AW133" i="7"/>
  <c r="AX133" i="7"/>
  <c r="AY133" i="7"/>
  <c r="BA133" i="7"/>
  <c r="BB133" i="7"/>
  <c r="BC133" i="7"/>
  <c r="BE133" i="7"/>
  <c r="BF133" i="7"/>
  <c r="BG133" i="7"/>
  <c r="BI133" i="7"/>
  <c r="BJ133" i="7"/>
  <c r="G92" i="7"/>
  <c r="I92" i="7"/>
  <c r="J92" i="7"/>
  <c r="K92" i="7"/>
  <c r="M92" i="7"/>
  <c r="N92" i="7"/>
  <c r="O92" i="7"/>
  <c r="Q92" i="7"/>
  <c r="R92" i="7"/>
  <c r="S92" i="7"/>
  <c r="U92" i="7"/>
  <c r="V92" i="7"/>
  <c r="W92" i="7"/>
  <c r="Y92" i="7"/>
  <c r="Z92" i="7"/>
  <c r="AA92" i="7"/>
  <c r="AC92" i="7"/>
  <c r="AD92" i="7"/>
  <c r="AE92" i="7"/>
  <c r="AG92" i="7"/>
  <c r="AH92" i="7"/>
  <c r="AI92" i="7"/>
  <c r="AK92" i="7"/>
  <c r="AL92" i="7"/>
  <c r="AM92" i="7"/>
  <c r="AO92" i="7"/>
  <c r="AP92" i="7"/>
  <c r="AQ92" i="7"/>
  <c r="AS92" i="7"/>
  <c r="AT92" i="7"/>
  <c r="AU92" i="7"/>
  <c r="AW92" i="7"/>
  <c r="AX92" i="7"/>
  <c r="AY92" i="7"/>
  <c r="BA92" i="7"/>
  <c r="BB92" i="7"/>
  <c r="BC92" i="7"/>
  <c r="BE92" i="7"/>
  <c r="BF92" i="7"/>
  <c r="BG92" i="7"/>
  <c r="BI92" i="7"/>
  <c r="BJ92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I77" i="7"/>
  <c r="AJ77" i="7"/>
  <c r="AK77" i="7"/>
  <c r="AL77" i="7"/>
  <c r="AM77" i="7"/>
  <c r="AN77" i="7"/>
  <c r="AO77" i="7"/>
  <c r="AP77" i="7"/>
  <c r="AQ77" i="7"/>
  <c r="AR77" i="7"/>
  <c r="AS77" i="7"/>
  <c r="AT77" i="7"/>
  <c r="AU77" i="7"/>
  <c r="AV77" i="7"/>
  <c r="AW77" i="7"/>
  <c r="AX77" i="7"/>
  <c r="AY77" i="7"/>
  <c r="AZ77" i="7"/>
  <c r="BA77" i="7"/>
  <c r="BB77" i="7"/>
  <c r="BC77" i="7"/>
  <c r="BD77" i="7"/>
  <c r="BE77" i="7"/>
  <c r="BF77" i="7"/>
  <c r="BG77" i="7"/>
  <c r="BH77" i="7"/>
  <c r="BI77" i="7"/>
  <c r="BJ77" i="7"/>
  <c r="G73" i="7"/>
  <c r="I73" i="7"/>
  <c r="J73" i="7"/>
  <c r="K73" i="7"/>
  <c r="M73" i="7"/>
  <c r="N73" i="7"/>
  <c r="O73" i="7"/>
  <c r="P73" i="7"/>
  <c r="Q73" i="7"/>
  <c r="R73" i="7"/>
  <c r="S73" i="7"/>
  <c r="U73" i="7"/>
  <c r="V73" i="7"/>
  <c r="W73" i="7"/>
  <c r="Y73" i="7"/>
  <c r="Z73" i="7"/>
  <c r="AA73" i="7"/>
  <c r="AB73" i="7"/>
  <c r="AC73" i="7"/>
  <c r="AD73" i="7"/>
  <c r="AE73" i="7"/>
  <c r="AG73" i="7"/>
  <c r="AH73" i="7"/>
  <c r="AI73" i="7"/>
  <c r="AK73" i="7"/>
  <c r="AL73" i="7"/>
  <c r="AM73" i="7"/>
  <c r="AO73" i="7"/>
  <c r="AP73" i="7"/>
  <c r="AQ73" i="7"/>
  <c r="AR73" i="7"/>
  <c r="AS73" i="7"/>
  <c r="AT73" i="7"/>
  <c r="AU73" i="7"/>
  <c r="AW73" i="7"/>
  <c r="AX73" i="7"/>
  <c r="AY73" i="7"/>
  <c r="BA73" i="7"/>
  <c r="BB73" i="7"/>
  <c r="BC73" i="7"/>
  <c r="BE73" i="7"/>
  <c r="BF73" i="7"/>
  <c r="BG73" i="7"/>
  <c r="BI73" i="7"/>
  <c r="BJ73" i="7"/>
  <c r="AY60" i="7"/>
  <c r="BA60" i="7"/>
  <c r="BB60" i="7"/>
  <c r="BC60" i="7"/>
  <c r="BE60" i="7"/>
  <c r="BF60" i="7"/>
  <c r="BG60" i="7"/>
  <c r="BI60" i="7"/>
  <c r="BJ60" i="7"/>
  <c r="G48" i="7"/>
  <c r="I48" i="7"/>
  <c r="J48" i="7"/>
  <c r="K48" i="7"/>
  <c r="M48" i="7"/>
  <c r="N48" i="7"/>
  <c r="O48" i="7"/>
  <c r="Q48" i="7"/>
  <c r="R48" i="7"/>
  <c r="S48" i="7"/>
  <c r="U48" i="7"/>
  <c r="V48" i="7"/>
  <c r="W48" i="7"/>
  <c r="Y48" i="7"/>
  <c r="Z48" i="7"/>
  <c r="AA48" i="7"/>
  <c r="AC48" i="7"/>
  <c r="AD48" i="7"/>
  <c r="AE48" i="7"/>
  <c r="AG48" i="7"/>
  <c r="AH48" i="7"/>
  <c r="AI48" i="7"/>
  <c r="AK48" i="7"/>
  <c r="AL48" i="7"/>
  <c r="AM48" i="7"/>
  <c r="AO48" i="7"/>
  <c r="AP48" i="7"/>
  <c r="AQ48" i="7"/>
  <c r="AS48" i="7"/>
  <c r="AT48" i="7"/>
  <c r="AU48" i="7"/>
  <c r="AV48" i="7"/>
  <c r="AW48" i="7"/>
  <c r="AX48" i="7"/>
  <c r="AY48" i="7"/>
  <c r="BA48" i="7"/>
  <c r="BB48" i="7"/>
  <c r="BC48" i="7"/>
  <c r="BE48" i="7"/>
  <c r="BF48" i="7"/>
  <c r="BG48" i="7"/>
  <c r="BI48" i="7"/>
  <c r="BJ48" i="7"/>
  <c r="G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W166" i="8"/>
  <c r="X166" i="8"/>
  <c r="Y166" i="8"/>
  <c r="Z166" i="8"/>
  <c r="AA166" i="8"/>
  <c r="AB166" i="8"/>
  <c r="AC166" i="8"/>
  <c r="AD166" i="8"/>
  <c r="G133" i="8"/>
  <c r="I133" i="8"/>
  <c r="J133" i="8"/>
  <c r="K133" i="8"/>
  <c r="L133" i="8"/>
  <c r="M133" i="8"/>
  <c r="N133" i="8"/>
  <c r="O133" i="8"/>
  <c r="Q133" i="8"/>
  <c r="R133" i="8"/>
  <c r="S133" i="8"/>
  <c r="T133" i="8"/>
  <c r="U133" i="8"/>
  <c r="V133" i="8"/>
  <c r="W133" i="8"/>
  <c r="Y133" i="8"/>
  <c r="Z133" i="8"/>
  <c r="AA133" i="8"/>
  <c r="AC133" i="8"/>
  <c r="AD133" i="8"/>
  <c r="G92" i="8"/>
  <c r="I92" i="8"/>
  <c r="J92" i="8"/>
  <c r="K92" i="8"/>
  <c r="M92" i="8"/>
  <c r="N92" i="8"/>
  <c r="O92" i="8"/>
  <c r="Q92" i="8"/>
  <c r="R92" i="8"/>
  <c r="S92" i="8"/>
  <c r="U92" i="8"/>
  <c r="V92" i="8"/>
  <c r="W92" i="8"/>
  <c r="Y92" i="8"/>
  <c r="Z92" i="8"/>
  <c r="AA92" i="8"/>
  <c r="AC92" i="8"/>
  <c r="AD92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Y77" i="8"/>
  <c r="Z77" i="8"/>
  <c r="AA77" i="8"/>
  <c r="AB77" i="8"/>
  <c r="AC77" i="8"/>
  <c r="AD77" i="8"/>
  <c r="G73" i="8"/>
  <c r="I73" i="8"/>
  <c r="J73" i="8"/>
  <c r="K73" i="8"/>
  <c r="M73" i="8"/>
  <c r="N73" i="8"/>
  <c r="O73" i="8"/>
  <c r="Q73" i="8"/>
  <c r="R73" i="8"/>
  <c r="S73" i="8"/>
  <c r="T73" i="8"/>
  <c r="U73" i="8"/>
  <c r="V73" i="8"/>
  <c r="W73" i="8"/>
  <c r="Y73" i="8"/>
  <c r="Z73" i="8"/>
  <c r="AA73" i="8"/>
  <c r="AC73" i="8"/>
  <c r="AD73" i="8"/>
  <c r="G60" i="8"/>
  <c r="I60" i="8"/>
  <c r="J60" i="8"/>
  <c r="K60" i="8"/>
  <c r="M60" i="8"/>
  <c r="N60" i="8"/>
  <c r="O60" i="8"/>
  <c r="Q60" i="8"/>
  <c r="R60" i="8"/>
  <c r="S60" i="8"/>
  <c r="U60" i="8"/>
  <c r="V60" i="8"/>
  <c r="W60" i="8"/>
  <c r="Y60" i="8"/>
  <c r="Z60" i="8"/>
  <c r="AA60" i="8"/>
  <c r="AC60" i="8"/>
  <c r="AD60" i="8"/>
  <c r="G48" i="8"/>
  <c r="I48" i="8"/>
  <c r="J48" i="8"/>
  <c r="K48" i="8"/>
  <c r="M48" i="8"/>
  <c r="N48" i="8"/>
  <c r="O48" i="8"/>
  <c r="Q48" i="8"/>
  <c r="R48" i="8"/>
  <c r="S48" i="8"/>
  <c r="U48" i="8"/>
  <c r="V48" i="8"/>
  <c r="W48" i="8"/>
  <c r="Y48" i="8"/>
  <c r="Z48" i="8"/>
  <c r="AA48" i="8"/>
  <c r="AC48" i="8"/>
  <c r="AD48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G166" i="9"/>
  <c r="H166" i="9"/>
  <c r="I166" i="9"/>
  <c r="J166" i="9"/>
  <c r="K166" i="9"/>
  <c r="L166" i="9"/>
  <c r="M166" i="9"/>
  <c r="N166" i="9"/>
  <c r="I133" i="9"/>
  <c r="J133" i="9"/>
  <c r="M133" i="9"/>
  <c r="N133" i="9"/>
  <c r="G92" i="9"/>
  <c r="I92" i="9"/>
  <c r="J92" i="9"/>
  <c r="K92" i="9"/>
  <c r="M92" i="9"/>
  <c r="N92" i="9"/>
  <c r="G77" i="9"/>
  <c r="H77" i="9"/>
  <c r="I77" i="9"/>
  <c r="J77" i="9"/>
  <c r="K77" i="9"/>
  <c r="L77" i="9"/>
  <c r="M77" i="9"/>
  <c r="N77" i="9"/>
  <c r="I73" i="9"/>
  <c r="J73" i="9"/>
  <c r="M73" i="9"/>
  <c r="N73" i="9"/>
  <c r="I48" i="9"/>
  <c r="J48" i="9"/>
  <c r="M48" i="9"/>
  <c r="N48" i="9"/>
  <c r="G12" i="9"/>
  <c r="H12" i="9"/>
  <c r="I12" i="9"/>
  <c r="J12" i="9"/>
  <c r="L12" i="9"/>
  <c r="M12" i="9"/>
  <c r="N12" i="9"/>
  <c r="G166" i="10"/>
  <c r="H166" i="10"/>
  <c r="I166" i="10"/>
  <c r="J166" i="10"/>
  <c r="K166" i="10"/>
  <c r="L166" i="10"/>
  <c r="M166" i="10"/>
  <c r="N166" i="10"/>
  <c r="G92" i="10"/>
  <c r="I92" i="10"/>
  <c r="J92" i="10"/>
  <c r="K92" i="10"/>
  <c r="M92" i="10"/>
  <c r="N92" i="10"/>
  <c r="I77" i="10"/>
  <c r="J77" i="10"/>
  <c r="K77" i="10"/>
  <c r="L77" i="10"/>
  <c r="M77" i="10"/>
  <c r="N77" i="10"/>
  <c r="I73" i="10"/>
  <c r="J73" i="10"/>
  <c r="M73" i="10"/>
  <c r="N73" i="10"/>
  <c r="I48" i="10"/>
  <c r="J48" i="10"/>
  <c r="M48" i="10"/>
  <c r="N48" i="10"/>
  <c r="J60" i="10"/>
  <c r="G12" i="10"/>
  <c r="H12" i="10"/>
  <c r="I12" i="10"/>
  <c r="J12" i="10"/>
  <c r="K12" i="10"/>
  <c r="L12" i="10"/>
  <c r="M12" i="10"/>
  <c r="N12" i="10"/>
  <c r="G166" i="11"/>
  <c r="H166" i="11"/>
  <c r="I166" i="11"/>
  <c r="J166" i="11"/>
  <c r="K166" i="11"/>
  <c r="L166" i="11"/>
  <c r="M166" i="11"/>
  <c r="N166" i="11"/>
  <c r="G133" i="11"/>
  <c r="I133" i="11"/>
  <c r="J133" i="11"/>
  <c r="K133" i="11"/>
  <c r="L133" i="11"/>
  <c r="M133" i="11"/>
  <c r="N133" i="11"/>
  <c r="G92" i="11"/>
  <c r="I92" i="11"/>
  <c r="J92" i="11"/>
  <c r="K92" i="11"/>
  <c r="M92" i="11"/>
  <c r="N92" i="11"/>
  <c r="I77" i="11"/>
  <c r="J77" i="11"/>
  <c r="K77" i="11"/>
  <c r="L77" i="11"/>
  <c r="M77" i="11"/>
  <c r="N77" i="11"/>
  <c r="G73" i="11"/>
  <c r="I73" i="11"/>
  <c r="J73" i="11"/>
  <c r="M73" i="11"/>
  <c r="N73" i="11"/>
  <c r="N48" i="11"/>
  <c r="M48" i="11"/>
  <c r="J48" i="11"/>
  <c r="I48" i="11"/>
  <c r="G12" i="11"/>
  <c r="H12" i="11"/>
  <c r="I12" i="11"/>
  <c r="J12" i="11"/>
  <c r="K12" i="11"/>
  <c r="L12" i="11"/>
  <c r="M12" i="11"/>
  <c r="N12" i="11"/>
  <c r="E133" i="13"/>
  <c r="F133" i="13"/>
  <c r="D166" i="13"/>
  <c r="E166" i="13"/>
  <c r="F166" i="13"/>
  <c r="E92" i="13"/>
  <c r="F92" i="13"/>
  <c r="E48" i="13"/>
  <c r="F48" i="13"/>
  <c r="D166" i="12"/>
  <c r="E166" i="12"/>
  <c r="F166" i="12"/>
  <c r="D133" i="12"/>
  <c r="E133" i="12"/>
  <c r="F133" i="12"/>
  <c r="C133" i="12"/>
  <c r="E92" i="12"/>
  <c r="F92" i="12"/>
  <c r="E73" i="12"/>
  <c r="F73" i="12"/>
  <c r="C12" i="12"/>
  <c r="D12" i="12"/>
  <c r="E12" i="12"/>
  <c r="F12" i="12"/>
  <c r="G166" i="14"/>
  <c r="I166" i="14"/>
  <c r="J166" i="14"/>
  <c r="K166" i="14"/>
  <c r="M166" i="14"/>
  <c r="N166" i="14"/>
  <c r="O166" i="14"/>
  <c r="P166" i="14"/>
  <c r="Q166" i="14"/>
  <c r="R166" i="14"/>
  <c r="G133" i="14"/>
  <c r="I133" i="14"/>
  <c r="J133" i="14"/>
  <c r="K133" i="14"/>
  <c r="M133" i="14"/>
  <c r="N133" i="14"/>
  <c r="O133" i="14"/>
  <c r="P133" i="14"/>
  <c r="Q133" i="14"/>
  <c r="R133" i="14"/>
  <c r="G92" i="14"/>
  <c r="I92" i="14"/>
  <c r="J92" i="14"/>
  <c r="K92" i="14"/>
  <c r="M92" i="14"/>
  <c r="N92" i="14"/>
  <c r="O92" i="14"/>
  <c r="Q92" i="14"/>
  <c r="R92" i="14"/>
  <c r="G77" i="14"/>
  <c r="H77" i="14"/>
  <c r="I77" i="14"/>
  <c r="J77" i="14"/>
  <c r="K77" i="14"/>
  <c r="L77" i="14"/>
  <c r="M77" i="14"/>
  <c r="N77" i="14"/>
  <c r="O77" i="14"/>
  <c r="P77" i="14"/>
  <c r="Q77" i="14"/>
  <c r="R77" i="14"/>
  <c r="G73" i="14"/>
  <c r="I73" i="14"/>
  <c r="J73" i="14"/>
  <c r="K73" i="14"/>
  <c r="M73" i="14"/>
  <c r="N73" i="14"/>
  <c r="O73" i="14"/>
  <c r="Q73" i="14"/>
  <c r="R73" i="14"/>
  <c r="I60" i="14"/>
  <c r="J60" i="14"/>
  <c r="K60" i="14"/>
  <c r="M60" i="14"/>
  <c r="N60" i="14"/>
  <c r="O60" i="14"/>
  <c r="Q60" i="14"/>
  <c r="R60" i="14"/>
  <c r="G48" i="14"/>
  <c r="I48" i="14"/>
  <c r="J48" i="14"/>
  <c r="K48" i="14"/>
  <c r="M48" i="14"/>
  <c r="N48" i="14"/>
  <c r="O48" i="14"/>
  <c r="Q48" i="14"/>
  <c r="R48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G166" i="15"/>
  <c r="I166" i="15"/>
  <c r="J166" i="15"/>
  <c r="K166" i="15"/>
  <c r="L166" i="15"/>
  <c r="M166" i="15"/>
  <c r="N166" i="15"/>
  <c r="O166" i="15"/>
  <c r="P166" i="15"/>
  <c r="Q166" i="15"/>
  <c r="R166" i="15"/>
  <c r="G133" i="15"/>
  <c r="I133" i="15"/>
  <c r="J133" i="15"/>
  <c r="K133" i="15"/>
  <c r="M133" i="15"/>
  <c r="N133" i="15"/>
  <c r="O133" i="15"/>
  <c r="Q133" i="15"/>
  <c r="R133" i="15"/>
  <c r="G92" i="15"/>
  <c r="I92" i="15"/>
  <c r="J92" i="15"/>
  <c r="K92" i="15"/>
  <c r="M92" i="15"/>
  <c r="N92" i="15"/>
  <c r="O92" i="15"/>
  <c r="Q92" i="15"/>
  <c r="R92" i="15"/>
  <c r="Q60" i="15"/>
  <c r="R60" i="15"/>
  <c r="G48" i="15"/>
  <c r="I48" i="15"/>
  <c r="J48" i="15"/>
  <c r="K48" i="15"/>
  <c r="M48" i="15"/>
  <c r="N48" i="15"/>
  <c r="O48" i="15"/>
  <c r="Q48" i="15"/>
  <c r="R48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H131" i="8"/>
  <c r="H133" i="8" s="1"/>
  <c r="H64" i="10"/>
  <c r="L135" i="14"/>
  <c r="L166" i="14" s="1"/>
  <c r="H160" i="14"/>
  <c r="H135" i="14"/>
  <c r="H138" i="14"/>
  <c r="H147" i="15"/>
  <c r="H146" i="15"/>
  <c r="H135" i="15"/>
  <c r="H138" i="15"/>
  <c r="K166" i="16"/>
  <c r="M166" i="16"/>
  <c r="O166" i="16"/>
  <c r="P148" i="16"/>
  <c r="P135" i="16"/>
  <c r="P138" i="16"/>
  <c r="P141" i="16"/>
  <c r="P149" i="16"/>
  <c r="P165" i="16"/>
  <c r="P136" i="16"/>
  <c r="L148" i="16"/>
  <c r="L141" i="16"/>
  <c r="H149" i="16"/>
  <c r="L149" i="16"/>
  <c r="L165" i="16"/>
  <c r="L138" i="16"/>
  <c r="L135" i="16"/>
  <c r="H165" i="16"/>
  <c r="H138" i="16"/>
  <c r="H135" i="16"/>
  <c r="H141" i="16"/>
  <c r="D163" i="1"/>
  <c r="D163" i="20" s="1"/>
  <c r="D136" i="1"/>
  <c r="D149" i="1"/>
  <c r="D162" i="1"/>
  <c r="D161" i="1"/>
  <c r="D160" i="1"/>
  <c r="D159" i="1"/>
  <c r="D158" i="1"/>
  <c r="D157" i="1"/>
  <c r="D157" i="6"/>
  <c r="D157" i="7"/>
  <c r="D157" i="8"/>
  <c r="D157" i="9"/>
  <c r="D157" i="10"/>
  <c r="D157" i="11"/>
  <c r="D157" i="14"/>
  <c r="D157" i="15"/>
  <c r="D157" i="16"/>
  <c r="C157" i="16"/>
  <c r="C157" i="15"/>
  <c r="C157" i="14"/>
  <c r="C157" i="11"/>
  <c r="C157" i="10"/>
  <c r="C157" i="9"/>
  <c r="C157" i="8"/>
  <c r="C157" i="7"/>
  <c r="C157" i="6"/>
  <c r="E157" i="6"/>
  <c r="F157" i="6"/>
  <c r="E157" i="7"/>
  <c r="F157" i="7"/>
  <c r="E157" i="8"/>
  <c r="F157" i="8"/>
  <c r="E157" i="9"/>
  <c r="F157" i="9"/>
  <c r="E157" i="10"/>
  <c r="F157" i="10"/>
  <c r="E157" i="11"/>
  <c r="F157" i="11"/>
  <c r="E157" i="14"/>
  <c r="F157" i="14"/>
  <c r="E157" i="15"/>
  <c r="F157" i="15"/>
  <c r="E157" i="16"/>
  <c r="F157" i="16"/>
  <c r="D156" i="1"/>
  <c r="E155" i="20"/>
  <c r="F155" i="20"/>
  <c r="C155" i="20"/>
  <c r="D155" i="1"/>
  <c r="D155" i="20" s="1"/>
  <c r="D154" i="1"/>
  <c r="D153" i="1"/>
  <c r="E152" i="20"/>
  <c r="F152" i="20"/>
  <c r="C152" i="20"/>
  <c r="D152" i="1"/>
  <c r="D152" i="20" s="1"/>
  <c r="D151" i="1"/>
  <c r="D150" i="1"/>
  <c r="D145" i="1"/>
  <c r="D132" i="19"/>
  <c r="P132" i="6"/>
  <c r="P133" i="6" s="1"/>
  <c r="L132" i="6"/>
  <c r="L133" i="6" s="1"/>
  <c r="H132" i="6"/>
  <c r="H133" i="6" s="1"/>
  <c r="BH132" i="7"/>
  <c r="AZ132" i="7"/>
  <c r="AZ133" i="7" s="1"/>
  <c r="AN132" i="7"/>
  <c r="AB132" i="7"/>
  <c r="AB133" i="7" s="1"/>
  <c r="L132" i="7"/>
  <c r="L133" i="7" s="1"/>
  <c r="AB132" i="8"/>
  <c r="AB133" i="8" s="1"/>
  <c r="X132" i="8"/>
  <c r="X133" i="8" s="1"/>
  <c r="P132" i="8"/>
  <c r="D132" i="13"/>
  <c r="D133" i="13" s="1"/>
  <c r="L132" i="14"/>
  <c r="L133" i="14" s="1"/>
  <c r="P132" i="15"/>
  <c r="P133" i="15" s="1"/>
  <c r="L132" i="15"/>
  <c r="L133" i="15" s="1"/>
  <c r="H132" i="15"/>
  <c r="H133" i="15" s="1"/>
  <c r="P132" i="16"/>
  <c r="L132" i="16"/>
  <c r="H132" i="16"/>
  <c r="M168" i="9" l="1"/>
  <c r="AC168" i="8"/>
  <c r="N168" i="8"/>
  <c r="J168" i="9"/>
  <c r="BB168" i="7"/>
  <c r="W168" i="8"/>
  <c r="Z168" i="8"/>
  <c r="F59" i="20"/>
  <c r="H166" i="15"/>
  <c r="N168" i="9"/>
  <c r="BF168" i="7"/>
  <c r="J168" i="6"/>
  <c r="BJ168" i="7"/>
  <c r="AA168" i="8"/>
  <c r="O168" i="8"/>
  <c r="BE168" i="7"/>
  <c r="H166" i="14"/>
  <c r="I168" i="9"/>
  <c r="Y168" i="8"/>
  <c r="M168" i="8"/>
  <c r="BC168" i="7"/>
  <c r="K168" i="8"/>
  <c r="BA168" i="7"/>
  <c r="V168" i="8"/>
  <c r="J168" i="8"/>
  <c r="U168" i="8"/>
  <c r="I168" i="8"/>
  <c r="AY168" i="7"/>
  <c r="E59" i="20"/>
  <c r="I168" i="6"/>
  <c r="S168" i="8"/>
  <c r="G168" i="8"/>
  <c r="BI168" i="7"/>
  <c r="Q168" i="6"/>
  <c r="E168" i="19"/>
  <c r="AD168" i="8"/>
  <c r="R168" i="8"/>
  <c r="N168" i="6"/>
  <c r="Q168" i="8"/>
  <c r="BG168" i="7"/>
  <c r="D59" i="20"/>
  <c r="R168" i="6"/>
  <c r="M168" i="6"/>
  <c r="C59" i="20"/>
  <c r="T60" i="7"/>
  <c r="AU60" i="7"/>
  <c r="AU168" i="7" s="1"/>
  <c r="AT60" i="7"/>
  <c r="AT168" i="7" s="1"/>
  <c r="AS60" i="7"/>
  <c r="AS168" i="7" s="1"/>
  <c r="AX60" i="7"/>
  <c r="AX168" i="7" s="1"/>
  <c r="AW60" i="7"/>
  <c r="AW168" i="7" s="1"/>
  <c r="F168" i="5"/>
  <c r="F168" i="19"/>
  <c r="E168" i="5"/>
  <c r="L166" i="16"/>
  <c r="P166" i="16"/>
  <c r="F157" i="20"/>
  <c r="C157" i="20"/>
  <c r="E157" i="20"/>
  <c r="D157" i="20"/>
  <c r="D131" i="19"/>
  <c r="D133" i="19" s="1"/>
  <c r="BH131" i="7"/>
  <c r="BH133" i="7" s="1"/>
  <c r="BD131" i="7"/>
  <c r="BD133" i="7" s="1"/>
  <c r="AN131" i="7"/>
  <c r="AN133" i="7" s="1"/>
  <c r="H131" i="7"/>
  <c r="H133" i="7" s="1"/>
  <c r="P131" i="8"/>
  <c r="P133" i="8" s="1"/>
  <c r="L131" i="9"/>
  <c r="H131" i="9"/>
  <c r="H131" i="11"/>
  <c r="H133" i="11" s="1"/>
  <c r="AP60" i="7" l="1"/>
  <c r="AP168" i="7" s="1"/>
  <c r="AO60" i="7"/>
  <c r="AO168" i="7" s="1"/>
  <c r="AQ60" i="7"/>
  <c r="AQ168" i="7" s="1"/>
  <c r="H130" i="14"/>
  <c r="H133" i="14" s="1"/>
  <c r="D128" i="1"/>
  <c r="F128" i="20"/>
  <c r="E128" i="20"/>
  <c r="C128" i="20"/>
  <c r="E127" i="20"/>
  <c r="F127" i="20"/>
  <c r="C127" i="20"/>
  <c r="D127" i="1"/>
  <c r="F126" i="20"/>
  <c r="E126" i="20"/>
  <c r="C126" i="20"/>
  <c r="D126" i="1"/>
  <c r="D125" i="1"/>
  <c r="D124" i="1"/>
  <c r="D123" i="1"/>
  <c r="D122" i="1"/>
  <c r="D121" i="1"/>
  <c r="D120" i="1"/>
  <c r="D119" i="1"/>
  <c r="D118" i="1"/>
  <c r="D117" i="1"/>
  <c r="D116" i="1"/>
  <c r="D116" i="6"/>
  <c r="E116" i="6"/>
  <c r="F116" i="6"/>
  <c r="D116" i="7"/>
  <c r="E116" i="7"/>
  <c r="F116" i="7"/>
  <c r="D116" i="8"/>
  <c r="E116" i="8"/>
  <c r="F116" i="8"/>
  <c r="D116" i="9"/>
  <c r="E116" i="9"/>
  <c r="F116" i="9"/>
  <c r="D116" i="10"/>
  <c r="E116" i="10"/>
  <c r="F116" i="10"/>
  <c r="D116" i="11"/>
  <c r="E116" i="11"/>
  <c r="F116" i="11"/>
  <c r="D116" i="14"/>
  <c r="E116" i="14"/>
  <c r="F116" i="14"/>
  <c r="D116" i="15"/>
  <c r="E116" i="15"/>
  <c r="F116" i="15"/>
  <c r="D116" i="16"/>
  <c r="E116" i="16"/>
  <c r="F116" i="16"/>
  <c r="C116" i="20"/>
  <c r="E115" i="20"/>
  <c r="F115" i="20"/>
  <c r="C115" i="20"/>
  <c r="D115" i="1"/>
  <c r="D114" i="1"/>
  <c r="D111" i="1"/>
  <c r="D110" i="1"/>
  <c r="D109" i="1"/>
  <c r="D108" i="1"/>
  <c r="D107" i="1"/>
  <c r="D106" i="1"/>
  <c r="D105" i="1"/>
  <c r="D104" i="1"/>
  <c r="C104" i="6"/>
  <c r="C104" i="7"/>
  <c r="C104" i="8"/>
  <c r="C104" i="9"/>
  <c r="C104" i="10"/>
  <c r="C104" i="11"/>
  <c r="C104" i="14"/>
  <c r="C104" i="15"/>
  <c r="C104" i="16"/>
  <c r="D103" i="1"/>
  <c r="D102" i="1"/>
  <c r="C102" i="6"/>
  <c r="C102" i="7"/>
  <c r="C102" i="8"/>
  <c r="C102" i="9"/>
  <c r="C102" i="10"/>
  <c r="C102" i="11"/>
  <c r="C102" i="14"/>
  <c r="C102" i="15"/>
  <c r="C102" i="16"/>
  <c r="D100" i="1"/>
  <c r="D98" i="1"/>
  <c r="D96" i="1"/>
  <c r="D95" i="1"/>
  <c r="D91" i="1"/>
  <c r="G92" i="16"/>
  <c r="I92" i="16"/>
  <c r="J92" i="16"/>
  <c r="K92" i="16"/>
  <c r="M92" i="16"/>
  <c r="N92" i="16"/>
  <c r="O92" i="16"/>
  <c r="Q92" i="16"/>
  <c r="R92" i="16"/>
  <c r="C92" i="17"/>
  <c r="C92" i="19"/>
  <c r="C92" i="5"/>
  <c r="C92" i="13"/>
  <c r="C92" i="12"/>
  <c r="D90" i="17"/>
  <c r="D89" i="17"/>
  <c r="D88" i="17"/>
  <c r="D87" i="17"/>
  <c r="D86" i="17"/>
  <c r="D85" i="17"/>
  <c r="D84" i="17"/>
  <c r="D83" i="17"/>
  <c r="D82" i="17"/>
  <c r="D81" i="17"/>
  <c r="D80" i="17"/>
  <c r="D79" i="17"/>
  <c r="D90" i="19"/>
  <c r="D89" i="19"/>
  <c r="D88" i="19"/>
  <c r="D87" i="19"/>
  <c r="D86" i="19"/>
  <c r="D85" i="19"/>
  <c r="D84" i="19"/>
  <c r="D83" i="19"/>
  <c r="D82" i="19"/>
  <c r="D81" i="19"/>
  <c r="D80" i="19"/>
  <c r="D79" i="19"/>
  <c r="P90" i="6"/>
  <c r="P89" i="6"/>
  <c r="P88" i="6"/>
  <c r="P87" i="6"/>
  <c r="P86" i="6"/>
  <c r="P85" i="6"/>
  <c r="P84" i="6"/>
  <c r="P83" i="6"/>
  <c r="P82" i="6"/>
  <c r="P81" i="6"/>
  <c r="P80" i="6"/>
  <c r="P79" i="6"/>
  <c r="L90" i="6"/>
  <c r="L89" i="6"/>
  <c r="L88" i="6"/>
  <c r="L87" i="6"/>
  <c r="L86" i="6"/>
  <c r="L85" i="6"/>
  <c r="L84" i="6"/>
  <c r="L83" i="6"/>
  <c r="L82" i="6"/>
  <c r="L81" i="6"/>
  <c r="L80" i="6"/>
  <c r="L79" i="6"/>
  <c r="H90" i="6"/>
  <c r="H89" i="6"/>
  <c r="H88" i="6"/>
  <c r="H87" i="6"/>
  <c r="H86" i="6"/>
  <c r="H85" i="6"/>
  <c r="H84" i="6"/>
  <c r="H83" i="6"/>
  <c r="H82" i="6"/>
  <c r="H81" i="6"/>
  <c r="H80" i="6"/>
  <c r="H79" i="6"/>
  <c r="D90" i="5"/>
  <c r="D89" i="5"/>
  <c r="D88" i="5"/>
  <c r="D87" i="5"/>
  <c r="D86" i="5"/>
  <c r="D85" i="5"/>
  <c r="D84" i="5"/>
  <c r="D83" i="5"/>
  <c r="D82" i="5"/>
  <c r="D81" i="5"/>
  <c r="D80" i="5"/>
  <c r="D79" i="5"/>
  <c r="BH90" i="7"/>
  <c r="BH89" i="7"/>
  <c r="BH88" i="7"/>
  <c r="BH87" i="7"/>
  <c r="BH86" i="7"/>
  <c r="BH85" i="7"/>
  <c r="BH84" i="7"/>
  <c r="BH83" i="7"/>
  <c r="BH82" i="7"/>
  <c r="BH81" i="7"/>
  <c r="BH80" i="7"/>
  <c r="BH79" i="7"/>
  <c r="BD90" i="7"/>
  <c r="BD89" i="7"/>
  <c r="BD88" i="7"/>
  <c r="BD87" i="7"/>
  <c r="BD86" i="7"/>
  <c r="BD85" i="7"/>
  <c r="BD84" i="7"/>
  <c r="BD83" i="7"/>
  <c r="BD82" i="7"/>
  <c r="BD81" i="7"/>
  <c r="BD80" i="7"/>
  <c r="BD79" i="7"/>
  <c r="AZ90" i="7"/>
  <c r="AZ89" i="7"/>
  <c r="AZ88" i="7"/>
  <c r="AZ87" i="7"/>
  <c r="AZ86" i="7"/>
  <c r="AZ85" i="7"/>
  <c r="AZ84" i="7"/>
  <c r="AZ83" i="7"/>
  <c r="AZ82" i="7"/>
  <c r="AZ81" i="7"/>
  <c r="AZ80" i="7"/>
  <c r="AZ79" i="7"/>
  <c r="AV90" i="7"/>
  <c r="AV89" i="7"/>
  <c r="AV88" i="7"/>
  <c r="AV87" i="7"/>
  <c r="AV86" i="7"/>
  <c r="AV85" i="7"/>
  <c r="AV84" i="7"/>
  <c r="AV83" i="7"/>
  <c r="AV82" i="7"/>
  <c r="AV81" i="7"/>
  <c r="AV80" i="7"/>
  <c r="AV79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N90" i="7"/>
  <c r="AN89" i="7"/>
  <c r="AN88" i="7"/>
  <c r="AN87" i="7"/>
  <c r="AN86" i="7"/>
  <c r="AN85" i="7"/>
  <c r="AN84" i="7"/>
  <c r="AN83" i="7"/>
  <c r="AN82" i="7"/>
  <c r="AN81" i="7"/>
  <c r="AN80" i="7"/>
  <c r="AN79" i="7"/>
  <c r="AJ90" i="7"/>
  <c r="AJ89" i="7"/>
  <c r="AJ88" i="7"/>
  <c r="AJ87" i="7"/>
  <c r="AJ86" i="7"/>
  <c r="AJ85" i="7"/>
  <c r="AJ84" i="7"/>
  <c r="AJ83" i="7"/>
  <c r="AJ82" i="7"/>
  <c r="AJ81" i="7"/>
  <c r="AJ80" i="7"/>
  <c r="AJ79" i="7"/>
  <c r="AF90" i="7"/>
  <c r="AF89" i="7"/>
  <c r="AF88" i="7"/>
  <c r="AF87" i="7"/>
  <c r="AF86" i="7"/>
  <c r="AF85" i="7"/>
  <c r="AF84" i="7"/>
  <c r="AF83" i="7"/>
  <c r="AF82" i="7"/>
  <c r="AF81" i="7"/>
  <c r="AF80" i="7"/>
  <c r="AF79" i="7"/>
  <c r="AB90" i="7"/>
  <c r="AB89" i="7"/>
  <c r="AB88" i="7"/>
  <c r="AB87" i="7"/>
  <c r="AB86" i="7"/>
  <c r="AB85" i="7"/>
  <c r="AB84" i="7"/>
  <c r="AB83" i="7"/>
  <c r="AB82" i="7"/>
  <c r="AB81" i="7"/>
  <c r="AB80" i="7"/>
  <c r="AB79" i="7"/>
  <c r="X90" i="7"/>
  <c r="X89" i="7"/>
  <c r="X88" i="7"/>
  <c r="X87" i="7"/>
  <c r="X86" i="7"/>
  <c r="X85" i="7"/>
  <c r="X84" i="7"/>
  <c r="X83" i="7"/>
  <c r="X82" i="7"/>
  <c r="X81" i="7"/>
  <c r="X80" i="7"/>
  <c r="X79" i="7"/>
  <c r="T90" i="7"/>
  <c r="T89" i="7"/>
  <c r="T88" i="7"/>
  <c r="T87" i="7"/>
  <c r="T86" i="7"/>
  <c r="T85" i="7"/>
  <c r="T84" i="7"/>
  <c r="T83" i="7"/>
  <c r="T82" i="7"/>
  <c r="T81" i="7"/>
  <c r="T80" i="7"/>
  <c r="T79" i="7"/>
  <c r="P90" i="7"/>
  <c r="P89" i="7"/>
  <c r="P88" i="7"/>
  <c r="P87" i="7"/>
  <c r="P86" i="7"/>
  <c r="P85" i="7"/>
  <c r="P84" i="7"/>
  <c r="P83" i="7"/>
  <c r="P82" i="7"/>
  <c r="P81" i="7"/>
  <c r="P80" i="7"/>
  <c r="P79" i="7"/>
  <c r="L90" i="7"/>
  <c r="L89" i="7"/>
  <c r="L88" i="7"/>
  <c r="L87" i="7"/>
  <c r="L86" i="7"/>
  <c r="L85" i="7"/>
  <c r="L84" i="7"/>
  <c r="L83" i="7"/>
  <c r="L82" i="7"/>
  <c r="L81" i="7"/>
  <c r="L80" i="7"/>
  <c r="L79" i="7"/>
  <c r="H90" i="7"/>
  <c r="H89" i="7"/>
  <c r="H88" i="7"/>
  <c r="H87" i="7"/>
  <c r="H86" i="7"/>
  <c r="H85" i="7"/>
  <c r="H84" i="7"/>
  <c r="H83" i="7"/>
  <c r="H82" i="7"/>
  <c r="H81" i="7"/>
  <c r="H80" i="7"/>
  <c r="H79" i="7"/>
  <c r="AB90" i="8"/>
  <c r="AB89" i="8"/>
  <c r="AB88" i="8"/>
  <c r="AB87" i="8"/>
  <c r="AB86" i="8"/>
  <c r="AB85" i="8"/>
  <c r="AB84" i="8"/>
  <c r="AB83" i="8"/>
  <c r="AB82" i="8"/>
  <c r="AB81" i="8"/>
  <c r="AB80" i="8"/>
  <c r="AB79" i="8"/>
  <c r="X90" i="8"/>
  <c r="X89" i="8"/>
  <c r="X88" i="8"/>
  <c r="X87" i="8"/>
  <c r="X86" i="8"/>
  <c r="X85" i="8"/>
  <c r="X84" i="8"/>
  <c r="X83" i="8"/>
  <c r="X82" i="8"/>
  <c r="X81" i="8"/>
  <c r="X80" i="8"/>
  <c r="X79" i="8"/>
  <c r="T90" i="8"/>
  <c r="T89" i="8"/>
  <c r="T88" i="8"/>
  <c r="T87" i="8"/>
  <c r="T86" i="8"/>
  <c r="T85" i="8"/>
  <c r="T84" i="8"/>
  <c r="T83" i="8"/>
  <c r="T82" i="8"/>
  <c r="T81" i="8"/>
  <c r="T80" i="8"/>
  <c r="T79" i="8"/>
  <c r="P90" i="8"/>
  <c r="P89" i="8"/>
  <c r="P88" i="8"/>
  <c r="P87" i="8"/>
  <c r="P86" i="8"/>
  <c r="P85" i="8"/>
  <c r="P84" i="8"/>
  <c r="P83" i="8"/>
  <c r="P82" i="8"/>
  <c r="P81" i="8"/>
  <c r="P80" i="8"/>
  <c r="P79" i="8"/>
  <c r="L90" i="8"/>
  <c r="L89" i="8"/>
  <c r="L88" i="8"/>
  <c r="L87" i="8"/>
  <c r="L86" i="8"/>
  <c r="L85" i="8"/>
  <c r="L84" i="8"/>
  <c r="L83" i="8"/>
  <c r="L82" i="8"/>
  <c r="L81" i="8"/>
  <c r="L80" i="8"/>
  <c r="L79" i="8"/>
  <c r="H90" i="8"/>
  <c r="H89" i="8"/>
  <c r="H88" i="8"/>
  <c r="H87" i="8"/>
  <c r="H86" i="8"/>
  <c r="H85" i="8"/>
  <c r="H84" i="8"/>
  <c r="H83" i="8"/>
  <c r="H82" i="8"/>
  <c r="H81" i="8"/>
  <c r="H80" i="8"/>
  <c r="H79" i="8"/>
  <c r="L90" i="9"/>
  <c r="L89" i="9"/>
  <c r="L88" i="9"/>
  <c r="L87" i="9"/>
  <c r="L86" i="9"/>
  <c r="L85" i="9"/>
  <c r="L84" i="9"/>
  <c r="L83" i="9"/>
  <c r="L82" i="9"/>
  <c r="L81" i="9"/>
  <c r="L80" i="9"/>
  <c r="L79" i="9"/>
  <c r="H90" i="9"/>
  <c r="H89" i="9"/>
  <c r="H88" i="9"/>
  <c r="H87" i="9"/>
  <c r="H86" i="9"/>
  <c r="H85" i="9"/>
  <c r="H84" i="9"/>
  <c r="H83" i="9"/>
  <c r="H82" i="9"/>
  <c r="H81" i="9"/>
  <c r="H80" i="9"/>
  <c r="H79" i="9"/>
  <c r="L90" i="10"/>
  <c r="L89" i="10"/>
  <c r="L88" i="10"/>
  <c r="L87" i="10"/>
  <c r="L86" i="10"/>
  <c r="L85" i="10"/>
  <c r="L84" i="10"/>
  <c r="L83" i="10"/>
  <c r="L82" i="10"/>
  <c r="L81" i="10"/>
  <c r="L80" i="10"/>
  <c r="L79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L90" i="11"/>
  <c r="L89" i="11"/>
  <c r="L88" i="11"/>
  <c r="L87" i="11"/>
  <c r="L86" i="11"/>
  <c r="L85" i="11"/>
  <c r="L84" i="11"/>
  <c r="L83" i="11"/>
  <c r="L82" i="11"/>
  <c r="L81" i="11"/>
  <c r="L80" i="11"/>
  <c r="L79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D90" i="13"/>
  <c r="D89" i="13"/>
  <c r="D88" i="13"/>
  <c r="D87" i="13"/>
  <c r="D86" i="13"/>
  <c r="D85" i="13"/>
  <c r="D84" i="13"/>
  <c r="D83" i="13"/>
  <c r="D82" i="13"/>
  <c r="D81" i="13"/>
  <c r="D80" i="13"/>
  <c r="D79" i="13"/>
  <c r="D90" i="12"/>
  <c r="D89" i="12"/>
  <c r="D88" i="12"/>
  <c r="D87" i="12"/>
  <c r="D86" i="12"/>
  <c r="D85" i="12"/>
  <c r="D84" i="12"/>
  <c r="D83" i="12"/>
  <c r="D82" i="12"/>
  <c r="D81" i="12"/>
  <c r="D80" i="12"/>
  <c r="D79" i="12"/>
  <c r="P90" i="14"/>
  <c r="P89" i="14"/>
  <c r="P88" i="14"/>
  <c r="P87" i="14"/>
  <c r="P86" i="14"/>
  <c r="P85" i="14"/>
  <c r="P84" i="14"/>
  <c r="P83" i="14"/>
  <c r="P82" i="14"/>
  <c r="P81" i="14"/>
  <c r="P80" i="14"/>
  <c r="P79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P90" i="15"/>
  <c r="P89" i="15"/>
  <c r="P88" i="15"/>
  <c r="P87" i="15"/>
  <c r="P86" i="15"/>
  <c r="P85" i="15"/>
  <c r="P84" i="15"/>
  <c r="P83" i="15"/>
  <c r="P82" i="15"/>
  <c r="P81" i="15"/>
  <c r="P80" i="15"/>
  <c r="P79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P90" i="16"/>
  <c r="P89" i="16"/>
  <c r="P88" i="16"/>
  <c r="P87" i="16"/>
  <c r="P86" i="16"/>
  <c r="P85" i="16"/>
  <c r="P84" i="16"/>
  <c r="P83" i="16"/>
  <c r="P82" i="16"/>
  <c r="P81" i="16"/>
  <c r="P80" i="16"/>
  <c r="P79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D89" i="1"/>
  <c r="D88" i="1"/>
  <c r="D87" i="1"/>
  <c r="D83" i="1"/>
  <c r="E92" i="1"/>
  <c r="F92" i="1"/>
  <c r="C92" i="1"/>
  <c r="D90" i="1"/>
  <c r="D86" i="1"/>
  <c r="D85" i="1"/>
  <c r="D84" i="1"/>
  <c r="D82" i="1"/>
  <c r="D81" i="1"/>
  <c r="D80" i="1"/>
  <c r="D79" i="1"/>
  <c r="E81" i="20"/>
  <c r="F81" i="20"/>
  <c r="C81" i="20"/>
  <c r="C76" i="5"/>
  <c r="D75" i="5"/>
  <c r="H76" i="6"/>
  <c r="H77" i="6" s="1"/>
  <c r="H72" i="8"/>
  <c r="D72" i="19"/>
  <c r="BD72" i="7"/>
  <c r="AV72" i="7"/>
  <c r="AV73" i="7" s="1"/>
  <c r="H72" i="7"/>
  <c r="D72" i="13"/>
  <c r="P72" i="14"/>
  <c r="L72" i="14"/>
  <c r="H72" i="14"/>
  <c r="P72" i="15"/>
  <c r="L72" i="15"/>
  <c r="H72" i="15"/>
  <c r="P71" i="14"/>
  <c r="L71" i="14"/>
  <c r="H71" i="14"/>
  <c r="D70" i="19"/>
  <c r="P70" i="6"/>
  <c r="L70" i="6"/>
  <c r="H70" i="6"/>
  <c r="AZ70" i="7"/>
  <c r="AN70" i="7"/>
  <c r="AB70" i="8"/>
  <c r="P70" i="8"/>
  <c r="D70" i="13"/>
  <c r="P70" i="14"/>
  <c r="L70" i="14"/>
  <c r="H70" i="14"/>
  <c r="H70" i="16"/>
  <c r="P64" i="6"/>
  <c r="L64" i="6"/>
  <c r="H64" i="6"/>
  <c r="D64" i="19"/>
  <c r="D69" i="19"/>
  <c r="D128" i="20" l="1"/>
  <c r="D126" i="20"/>
  <c r="D127" i="20"/>
  <c r="D115" i="20"/>
  <c r="AK60" i="7"/>
  <c r="AK168" i="7" s="1"/>
  <c r="AM60" i="7"/>
  <c r="AM168" i="7" s="1"/>
  <c r="AL60" i="7"/>
  <c r="AL168" i="7" s="1"/>
  <c r="H92" i="15"/>
  <c r="L92" i="15"/>
  <c r="P92" i="15"/>
  <c r="H92" i="14"/>
  <c r="L92" i="14"/>
  <c r="P92" i="14"/>
  <c r="D92" i="12"/>
  <c r="D92" i="13"/>
  <c r="H92" i="11"/>
  <c r="L92" i="11"/>
  <c r="H92" i="10"/>
  <c r="L92" i="10"/>
  <c r="H92" i="9"/>
  <c r="L92" i="9"/>
  <c r="H92" i="8"/>
  <c r="L92" i="8"/>
  <c r="P92" i="8"/>
  <c r="T92" i="8"/>
  <c r="X92" i="8"/>
  <c r="AB92" i="8"/>
  <c r="H92" i="7"/>
  <c r="L92" i="7"/>
  <c r="P92" i="7"/>
  <c r="T92" i="7"/>
  <c r="X92" i="7"/>
  <c r="AB92" i="7"/>
  <c r="AF92" i="7"/>
  <c r="AJ92" i="7"/>
  <c r="AN92" i="7"/>
  <c r="AR92" i="7"/>
  <c r="AV92" i="7"/>
  <c r="AZ92" i="7"/>
  <c r="BD92" i="7"/>
  <c r="BH92" i="7"/>
  <c r="D92" i="5"/>
  <c r="H92" i="6"/>
  <c r="L92" i="6"/>
  <c r="P92" i="6"/>
  <c r="D92" i="19"/>
  <c r="D92" i="17"/>
  <c r="E116" i="20"/>
  <c r="F116" i="20"/>
  <c r="D116" i="20"/>
  <c r="C104" i="20"/>
  <c r="C102" i="20"/>
  <c r="H92" i="16"/>
  <c r="L92" i="16"/>
  <c r="P92" i="16"/>
  <c r="D81" i="20"/>
  <c r="D92" i="1"/>
  <c r="AG60" i="7" l="1"/>
  <c r="AG168" i="7" s="1"/>
  <c r="AI60" i="7"/>
  <c r="AI168" i="7" s="1"/>
  <c r="AH60" i="7"/>
  <c r="AH168" i="7" s="1"/>
  <c r="D67" i="13"/>
  <c r="D66" i="19"/>
  <c r="P66" i="6"/>
  <c r="L66" i="6"/>
  <c r="H66" i="6"/>
  <c r="BH66" i="7"/>
  <c r="AJ66" i="7"/>
  <c r="AF66" i="7"/>
  <c r="L66" i="7"/>
  <c r="AB66" i="8"/>
  <c r="P66" i="8"/>
  <c r="D66" i="13"/>
  <c r="P66" i="14"/>
  <c r="L66" i="14"/>
  <c r="H66" i="14"/>
  <c r="P66" i="15"/>
  <c r="L66" i="15"/>
  <c r="H66" i="15"/>
  <c r="D65" i="17"/>
  <c r="D73" i="17" s="1"/>
  <c r="D65" i="19"/>
  <c r="D73" i="19" s="1"/>
  <c r="P65" i="6"/>
  <c r="L65" i="6"/>
  <c r="H65" i="6"/>
  <c r="D65" i="5"/>
  <c r="H65" i="7"/>
  <c r="H73" i="7" s="1"/>
  <c r="C65" i="8"/>
  <c r="H65" i="8"/>
  <c r="X65" i="8"/>
  <c r="X73" i="8" s="1"/>
  <c r="H65" i="11"/>
  <c r="H73" i="11" s="1"/>
  <c r="D65" i="13"/>
  <c r="D65" i="12"/>
  <c r="D73" i="12" s="1"/>
  <c r="P65" i="14"/>
  <c r="L65" i="14"/>
  <c r="H65" i="14"/>
  <c r="P65" i="15"/>
  <c r="L65" i="15"/>
  <c r="H65" i="15"/>
  <c r="D63" i="5"/>
  <c r="D64" i="5"/>
  <c r="BH64" i="7"/>
  <c r="BD64" i="7"/>
  <c r="BD73" i="7" s="1"/>
  <c r="AZ64" i="7"/>
  <c r="AZ73" i="7" s="1"/>
  <c r="AN64" i="7"/>
  <c r="AN73" i="7" s="1"/>
  <c r="AF64" i="7"/>
  <c r="L64" i="7"/>
  <c r="P64" i="8"/>
  <c r="H64" i="8"/>
  <c r="D64" i="13"/>
  <c r="P64" i="14"/>
  <c r="L64" i="14"/>
  <c r="H64" i="14"/>
  <c r="P64" i="15"/>
  <c r="L64" i="15"/>
  <c r="H64" i="15"/>
  <c r="F63" i="6"/>
  <c r="E63" i="6"/>
  <c r="D63" i="6"/>
  <c r="C63" i="6"/>
  <c r="P62" i="6"/>
  <c r="H62" i="6"/>
  <c r="D62" i="1"/>
  <c r="BH62" i="7"/>
  <c r="AJ62" i="7"/>
  <c r="X62" i="7"/>
  <c r="X73" i="7" s="1"/>
  <c r="T62" i="7"/>
  <c r="T73" i="7" s="1"/>
  <c r="AB62" i="8"/>
  <c r="P62" i="8"/>
  <c r="L62" i="8"/>
  <c r="L73" i="8" s="1"/>
  <c r="H58" i="14"/>
  <c r="C58" i="1"/>
  <c r="D57" i="19"/>
  <c r="P57" i="6"/>
  <c r="L57" i="6"/>
  <c r="H57" i="6"/>
  <c r="D57" i="5"/>
  <c r="BH57" i="7"/>
  <c r="AN57" i="7"/>
  <c r="AJ57" i="7"/>
  <c r="AF57" i="7"/>
  <c r="H57" i="7"/>
  <c r="P57" i="8"/>
  <c r="H57" i="8"/>
  <c r="D57" i="13"/>
  <c r="P57" i="14"/>
  <c r="L57" i="14"/>
  <c r="H57" i="14"/>
  <c r="D58" i="1" l="1"/>
  <c r="AF73" i="7"/>
  <c r="H73" i="6"/>
  <c r="AB73" i="8"/>
  <c r="BH73" i="7"/>
  <c r="L73" i="7"/>
  <c r="P73" i="6"/>
  <c r="H73" i="8"/>
  <c r="L73" i="6"/>
  <c r="AE60" i="7"/>
  <c r="AE168" i="7" s="1"/>
  <c r="AC60" i="7"/>
  <c r="AC168" i="7" s="1"/>
  <c r="AD60" i="7"/>
  <c r="AD168" i="7" s="1"/>
  <c r="P73" i="8"/>
  <c r="AJ73" i="7"/>
  <c r="H73" i="14"/>
  <c r="L73" i="14"/>
  <c r="P73" i="14"/>
  <c r="D62" i="7"/>
  <c r="AA60" i="7" l="1"/>
  <c r="AA168" i="7" s="1"/>
  <c r="Z60" i="7"/>
  <c r="Z168" i="7" s="1"/>
  <c r="Y60" i="7"/>
  <c r="Y168" i="7" s="1"/>
  <c r="I168" i="11"/>
  <c r="J168" i="11"/>
  <c r="M168" i="11"/>
  <c r="N168" i="11"/>
  <c r="D55" i="19"/>
  <c r="D54" i="19"/>
  <c r="P55" i="6"/>
  <c r="P54" i="6"/>
  <c r="L55" i="6"/>
  <c r="L54" i="6"/>
  <c r="H55" i="6"/>
  <c r="H54" i="6"/>
  <c r="D55" i="5"/>
  <c r="D54" i="5"/>
  <c r="BH54" i="7"/>
  <c r="BD54" i="7"/>
  <c r="AN55" i="7"/>
  <c r="AN54" i="7"/>
  <c r="AF55" i="7"/>
  <c r="AF54" i="7"/>
  <c r="L55" i="7"/>
  <c r="L54" i="7"/>
  <c r="P55" i="8"/>
  <c r="D55" i="8" s="1"/>
  <c r="P54" i="8"/>
  <c r="D54" i="8" s="1"/>
  <c r="L55" i="9"/>
  <c r="L54" i="9"/>
  <c r="H55" i="9"/>
  <c r="H55" i="10"/>
  <c r="D55" i="10" s="1"/>
  <c r="H54" i="10"/>
  <c r="D54" i="10" s="1"/>
  <c r="H55" i="11"/>
  <c r="D55" i="11" s="1"/>
  <c r="H54" i="11"/>
  <c r="D54" i="11" s="1"/>
  <c r="D55" i="13"/>
  <c r="D54" i="13"/>
  <c r="D55" i="12"/>
  <c r="D54" i="12"/>
  <c r="P55" i="14"/>
  <c r="L55" i="14"/>
  <c r="H55" i="14"/>
  <c r="H54" i="14"/>
  <c r="D54" i="14" s="1"/>
  <c r="H55" i="15"/>
  <c r="D55" i="15" s="1"/>
  <c r="H54" i="15"/>
  <c r="C54" i="6"/>
  <c r="C55" i="6"/>
  <c r="C56" i="6"/>
  <c r="C54" i="7"/>
  <c r="C55" i="7"/>
  <c r="C56" i="7"/>
  <c r="C54" i="8"/>
  <c r="C55" i="8"/>
  <c r="C56" i="8"/>
  <c r="C55" i="9"/>
  <c r="C54" i="10"/>
  <c r="C55" i="10"/>
  <c r="C54" i="11"/>
  <c r="C55" i="11"/>
  <c r="C56" i="11"/>
  <c r="C54" i="14"/>
  <c r="C55" i="14"/>
  <c r="C56" i="14"/>
  <c r="C54" i="15"/>
  <c r="C55" i="15"/>
  <c r="C56" i="15"/>
  <c r="C54" i="16"/>
  <c r="C55" i="16"/>
  <c r="C56" i="16"/>
  <c r="C54" i="1"/>
  <c r="C55" i="1"/>
  <c r="C56" i="1"/>
  <c r="D56" i="6"/>
  <c r="D56" i="7"/>
  <c r="D56" i="8"/>
  <c r="D56" i="11"/>
  <c r="D56" i="14"/>
  <c r="D56" i="15"/>
  <c r="D54" i="16"/>
  <c r="D55" i="16"/>
  <c r="D56" i="16"/>
  <c r="E54" i="6"/>
  <c r="E55" i="6"/>
  <c r="E56" i="6"/>
  <c r="E54" i="7"/>
  <c r="E55" i="7"/>
  <c r="E56" i="7"/>
  <c r="E54" i="8"/>
  <c r="E55" i="8"/>
  <c r="E56" i="8"/>
  <c r="E54" i="9"/>
  <c r="E55" i="9"/>
  <c r="E56" i="9"/>
  <c r="E54" i="10"/>
  <c r="E55" i="10"/>
  <c r="E56" i="10"/>
  <c r="E54" i="11"/>
  <c r="E55" i="11"/>
  <c r="E56" i="11"/>
  <c r="E54" i="14"/>
  <c r="E55" i="14"/>
  <c r="E56" i="14"/>
  <c r="E54" i="15"/>
  <c r="E55" i="15"/>
  <c r="E56" i="15"/>
  <c r="E54" i="16"/>
  <c r="E55" i="16"/>
  <c r="E56" i="16"/>
  <c r="F54" i="6"/>
  <c r="F55" i="6"/>
  <c r="F56" i="6"/>
  <c r="F54" i="7"/>
  <c r="F55" i="7"/>
  <c r="F56" i="7"/>
  <c r="F54" i="8"/>
  <c r="F55" i="8"/>
  <c r="F56" i="8"/>
  <c r="F54" i="9"/>
  <c r="F55" i="9"/>
  <c r="F56" i="9"/>
  <c r="F54" i="10"/>
  <c r="F55" i="10"/>
  <c r="F56" i="10"/>
  <c r="F54" i="11"/>
  <c r="F55" i="11"/>
  <c r="F56" i="11"/>
  <c r="F54" i="14"/>
  <c r="F55" i="14"/>
  <c r="F56" i="14"/>
  <c r="F54" i="15"/>
  <c r="F55" i="15"/>
  <c r="F56" i="15"/>
  <c r="F54" i="16"/>
  <c r="F55" i="16"/>
  <c r="F56" i="16"/>
  <c r="D53" i="17"/>
  <c r="D52" i="17"/>
  <c r="D53" i="19"/>
  <c r="D52" i="19"/>
  <c r="P53" i="6"/>
  <c r="P52" i="6"/>
  <c r="L53" i="6"/>
  <c r="L52" i="6"/>
  <c r="H53" i="6"/>
  <c r="H52" i="6"/>
  <c r="D53" i="5"/>
  <c r="D52" i="5"/>
  <c r="BH53" i="7"/>
  <c r="BH52" i="7"/>
  <c r="BD53" i="7"/>
  <c r="BD52" i="7"/>
  <c r="AV53" i="7"/>
  <c r="AV52" i="7"/>
  <c r="AN53" i="7"/>
  <c r="AN52" i="7"/>
  <c r="AJ53" i="7"/>
  <c r="AJ52" i="7"/>
  <c r="AF53" i="7"/>
  <c r="AF52" i="7"/>
  <c r="AB53" i="7"/>
  <c r="AB52" i="7"/>
  <c r="P53" i="7"/>
  <c r="P52" i="7"/>
  <c r="L53" i="7"/>
  <c r="L52" i="7"/>
  <c r="H53" i="7"/>
  <c r="H52" i="7"/>
  <c r="AB53" i="8"/>
  <c r="AB52" i="8"/>
  <c r="X53" i="8"/>
  <c r="X52" i="8"/>
  <c r="T53" i="8"/>
  <c r="T52" i="8"/>
  <c r="P53" i="8"/>
  <c r="P52" i="8"/>
  <c r="L53" i="8"/>
  <c r="L52" i="8"/>
  <c r="H53" i="8"/>
  <c r="H52" i="8"/>
  <c r="L53" i="10"/>
  <c r="L52" i="10"/>
  <c r="H52" i="10"/>
  <c r="L52" i="11"/>
  <c r="H52" i="11"/>
  <c r="D53" i="13"/>
  <c r="D52" i="13"/>
  <c r="D53" i="12"/>
  <c r="D52" i="12"/>
  <c r="P53" i="14"/>
  <c r="P52" i="14"/>
  <c r="L53" i="14"/>
  <c r="L52" i="14"/>
  <c r="H53" i="14"/>
  <c r="H52" i="14"/>
  <c r="P53" i="15"/>
  <c r="P52" i="15"/>
  <c r="L53" i="15"/>
  <c r="L52" i="15"/>
  <c r="H53" i="15"/>
  <c r="H52" i="15"/>
  <c r="P53" i="16"/>
  <c r="P52" i="16"/>
  <c r="L53" i="16"/>
  <c r="L52" i="16"/>
  <c r="H52" i="16"/>
  <c r="H53" i="16"/>
  <c r="D53" i="1"/>
  <c r="D52" i="1"/>
  <c r="D51" i="17"/>
  <c r="D50" i="17"/>
  <c r="D51" i="19"/>
  <c r="D50" i="19"/>
  <c r="P51" i="6"/>
  <c r="P50" i="6"/>
  <c r="L51" i="6"/>
  <c r="L50" i="6"/>
  <c r="H51" i="6"/>
  <c r="H50" i="6"/>
  <c r="D51" i="5"/>
  <c r="D50" i="5"/>
  <c r="AR51" i="7"/>
  <c r="AR50" i="7"/>
  <c r="AN51" i="7"/>
  <c r="AN50" i="7"/>
  <c r="BH51" i="7"/>
  <c r="BH50" i="7"/>
  <c r="BD51" i="7"/>
  <c r="BD50" i="7"/>
  <c r="AZ51" i="7"/>
  <c r="AZ50" i="7"/>
  <c r="AV51" i="7"/>
  <c r="AV50" i="7"/>
  <c r="AF51" i="7"/>
  <c r="AF50" i="7"/>
  <c r="AB51" i="7"/>
  <c r="AB50" i="7"/>
  <c r="X51" i="7"/>
  <c r="X50" i="7"/>
  <c r="P51" i="7"/>
  <c r="P50" i="7"/>
  <c r="L51" i="7"/>
  <c r="L50" i="7"/>
  <c r="H51" i="7"/>
  <c r="H50" i="7"/>
  <c r="AB51" i="8"/>
  <c r="AB50" i="8"/>
  <c r="X51" i="8"/>
  <c r="X50" i="8"/>
  <c r="T51" i="8"/>
  <c r="T50" i="8"/>
  <c r="P51" i="8"/>
  <c r="P50" i="8"/>
  <c r="L51" i="8"/>
  <c r="L50" i="8"/>
  <c r="H51" i="8"/>
  <c r="H50" i="8"/>
  <c r="L50" i="9"/>
  <c r="H51" i="9"/>
  <c r="H50" i="9"/>
  <c r="L50" i="10"/>
  <c r="H50" i="10"/>
  <c r="L51" i="11"/>
  <c r="H51" i="11"/>
  <c r="H50" i="11"/>
  <c r="D51" i="13"/>
  <c r="D50" i="13"/>
  <c r="D51" i="12"/>
  <c r="D50" i="12"/>
  <c r="P51" i="14"/>
  <c r="P50" i="14"/>
  <c r="L51" i="14"/>
  <c r="L50" i="14"/>
  <c r="H51" i="14"/>
  <c r="H50" i="14"/>
  <c r="P51" i="15"/>
  <c r="P50" i="15"/>
  <c r="L51" i="15"/>
  <c r="L50" i="15"/>
  <c r="H51" i="15"/>
  <c r="H50" i="15"/>
  <c r="P51" i="16"/>
  <c r="P50" i="16"/>
  <c r="L51" i="16"/>
  <c r="L50" i="16"/>
  <c r="H51" i="16"/>
  <c r="H50" i="16"/>
  <c r="D51" i="1"/>
  <c r="D50" i="1"/>
  <c r="D56" i="1" l="1"/>
  <c r="D55" i="1"/>
  <c r="D60" i="17"/>
  <c r="P60" i="15"/>
  <c r="P60" i="7"/>
  <c r="BD60" i="7"/>
  <c r="P60" i="8"/>
  <c r="X60" i="8"/>
  <c r="P60" i="16"/>
  <c r="P60" i="14"/>
  <c r="H60" i="15"/>
  <c r="D60" i="12"/>
  <c r="H60" i="7"/>
  <c r="D60" i="5"/>
  <c r="AB60" i="7"/>
  <c r="D60" i="19"/>
  <c r="H60" i="14"/>
  <c r="P60" i="6"/>
  <c r="D54" i="1"/>
  <c r="C60" i="1"/>
  <c r="L60" i="16"/>
  <c r="H60" i="16"/>
  <c r="L60" i="6"/>
  <c r="L60" i="14"/>
  <c r="L60" i="15"/>
  <c r="D60" i="13"/>
  <c r="AZ60" i="7"/>
  <c r="H60" i="6"/>
  <c r="W60" i="7"/>
  <c r="W168" i="7" s="1"/>
  <c r="U60" i="7"/>
  <c r="U168" i="7" s="1"/>
  <c r="V60" i="7"/>
  <c r="V168" i="7" s="1"/>
  <c r="T60" i="8"/>
  <c r="X60" i="7"/>
  <c r="BH60" i="7"/>
  <c r="AN60" i="7"/>
  <c r="AB60" i="8"/>
  <c r="AF60" i="7"/>
  <c r="AR60" i="7"/>
  <c r="H60" i="8"/>
  <c r="AV60" i="7"/>
  <c r="AV168" i="7" s="1"/>
  <c r="L60" i="7"/>
  <c r="L60" i="8"/>
  <c r="AJ60" i="7"/>
  <c r="E56" i="20"/>
  <c r="F56" i="20"/>
  <c r="D55" i="9"/>
  <c r="D55" i="7"/>
  <c r="F54" i="20"/>
  <c r="E54" i="20"/>
  <c r="C55" i="20"/>
  <c r="F55" i="20"/>
  <c r="E55" i="20"/>
  <c r="D55" i="6"/>
  <c r="D54" i="7"/>
  <c r="D55" i="14"/>
  <c r="D54" i="15"/>
  <c r="D47" i="17"/>
  <c r="D46" i="17"/>
  <c r="D45" i="17"/>
  <c r="D47" i="19"/>
  <c r="D46" i="19"/>
  <c r="D45" i="19"/>
  <c r="P47" i="6"/>
  <c r="P46" i="6"/>
  <c r="P45" i="6"/>
  <c r="L47" i="6"/>
  <c r="L46" i="6"/>
  <c r="L45" i="6"/>
  <c r="H47" i="6"/>
  <c r="H46" i="6"/>
  <c r="H45" i="6"/>
  <c r="D47" i="5"/>
  <c r="D46" i="5"/>
  <c r="D45" i="5"/>
  <c r="L47" i="7"/>
  <c r="L46" i="7"/>
  <c r="L45" i="7"/>
  <c r="BH47" i="7"/>
  <c r="BH46" i="7"/>
  <c r="BH45" i="7"/>
  <c r="BD47" i="7"/>
  <c r="BD46" i="7"/>
  <c r="BD45" i="7"/>
  <c r="AN47" i="7"/>
  <c r="AN46" i="7"/>
  <c r="AN45" i="7"/>
  <c r="AJ47" i="7"/>
  <c r="AJ46" i="7"/>
  <c r="AJ45" i="7"/>
  <c r="AF47" i="7"/>
  <c r="AF46" i="7"/>
  <c r="AF45" i="7"/>
  <c r="AB47" i="7"/>
  <c r="AB46" i="7"/>
  <c r="AB45" i="7"/>
  <c r="X47" i="7"/>
  <c r="X46" i="7"/>
  <c r="X45" i="7"/>
  <c r="H47" i="7"/>
  <c r="H46" i="7"/>
  <c r="H45" i="7"/>
  <c r="X47" i="8"/>
  <c r="X46" i="8"/>
  <c r="X45" i="8"/>
  <c r="T45" i="8"/>
  <c r="AB47" i="8"/>
  <c r="AB46" i="8"/>
  <c r="AB45" i="8"/>
  <c r="T47" i="8"/>
  <c r="T46" i="8"/>
  <c r="L47" i="8"/>
  <c r="L46" i="8"/>
  <c r="L45" i="8"/>
  <c r="H47" i="8"/>
  <c r="H46" i="8"/>
  <c r="H45" i="8"/>
  <c r="H46" i="9"/>
  <c r="L46" i="10"/>
  <c r="H46" i="10"/>
  <c r="H47" i="11"/>
  <c r="H46" i="11"/>
  <c r="D47" i="13"/>
  <c r="D46" i="13"/>
  <c r="D45" i="13"/>
  <c r="D47" i="12"/>
  <c r="D46" i="12"/>
  <c r="D45" i="12"/>
  <c r="P47" i="14"/>
  <c r="P46" i="14"/>
  <c r="P45" i="14"/>
  <c r="L47" i="14"/>
  <c r="L46" i="14"/>
  <c r="L45" i="14"/>
  <c r="H47" i="14"/>
  <c r="H46" i="14"/>
  <c r="H45" i="14"/>
  <c r="P47" i="15"/>
  <c r="P46" i="15"/>
  <c r="P45" i="15"/>
  <c r="L47" i="15"/>
  <c r="L46" i="15"/>
  <c r="L45" i="15"/>
  <c r="H47" i="15"/>
  <c r="H46" i="15"/>
  <c r="H45" i="15"/>
  <c r="P47" i="16"/>
  <c r="P46" i="16"/>
  <c r="P45" i="16"/>
  <c r="L47" i="16"/>
  <c r="L46" i="16"/>
  <c r="L45" i="16"/>
  <c r="H47" i="16"/>
  <c r="H46" i="16"/>
  <c r="H45" i="16"/>
  <c r="D46" i="1"/>
  <c r="D45" i="1"/>
  <c r="D44" i="17"/>
  <c r="D43" i="17"/>
  <c r="D44" i="19"/>
  <c r="D43" i="19"/>
  <c r="P44" i="6"/>
  <c r="P43" i="6"/>
  <c r="L44" i="6"/>
  <c r="L43" i="6"/>
  <c r="H44" i="6"/>
  <c r="H43" i="6"/>
  <c r="D44" i="5"/>
  <c r="D43" i="5"/>
  <c r="BD44" i="7"/>
  <c r="BD43" i="7"/>
  <c r="AN44" i="7"/>
  <c r="AN43" i="7"/>
  <c r="AF44" i="7"/>
  <c r="AF43" i="7"/>
  <c r="L44" i="7"/>
  <c r="L43" i="7"/>
  <c r="L44" i="8"/>
  <c r="L43" i="8"/>
  <c r="H44" i="8"/>
  <c r="H43" i="8"/>
  <c r="L43" i="9"/>
  <c r="H43" i="9"/>
  <c r="L44" i="10"/>
  <c r="L43" i="10"/>
  <c r="H44" i="10"/>
  <c r="L24" i="11"/>
  <c r="L44" i="11"/>
  <c r="L43" i="11"/>
  <c r="H44" i="11"/>
  <c r="H43" i="11"/>
  <c r="D44" i="13"/>
  <c r="D43" i="13"/>
  <c r="D44" i="12"/>
  <c r="D43" i="12"/>
  <c r="L44" i="14"/>
  <c r="P44" i="14"/>
  <c r="P43" i="14"/>
  <c r="L43" i="14"/>
  <c r="H44" i="14"/>
  <c r="H43" i="14"/>
  <c r="P44" i="15"/>
  <c r="P43" i="15"/>
  <c r="L44" i="15"/>
  <c r="L43" i="15"/>
  <c r="H44" i="15"/>
  <c r="H43" i="15"/>
  <c r="D43" i="1"/>
  <c r="D41" i="19"/>
  <c r="D40" i="19"/>
  <c r="P41" i="6"/>
  <c r="P40" i="6"/>
  <c r="H41" i="6"/>
  <c r="H40" i="6"/>
  <c r="D40" i="5"/>
  <c r="BH41" i="7"/>
  <c r="BH40" i="7"/>
  <c r="BD41" i="7"/>
  <c r="BD40" i="7"/>
  <c r="AF41" i="7"/>
  <c r="AF40" i="7"/>
  <c r="X41" i="7"/>
  <c r="X40" i="7"/>
  <c r="L41" i="7"/>
  <c r="L40" i="7"/>
  <c r="AB37" i="8"/>
  <c r="X41" i="8"/>
  <c r="X40" i="8"/>
  <c r="L41" i="8"/>
  <c r="L40" i="8"/>
  <c r="D41" i="13"/>
  <c r="D40" i="13"/>
  <c r="H41" i="14"/>
  <c r="H40" i="14"/>
  <c r="P41" i="15"/>
  <c r="P40" i="15"/>
  <c r="L41" i="15"/>
  <c r="L40" i="15"/>
  <c r="D40" i="1"/>
  <c r="D41" i="1"/>
  <c r="D39" i="17"/>
  <c r="D38" i="17"/>
  <c r="D38" i="19"/>
  <c r="L39" i="6"/>
  <c r="L38" i="6"/>
  <c r="P39" i="6"/>
  <c r="P38" i="6"/>
  <c r="H39" i="6"/>
  <c r="H38" i="6"/>
  <c r="D39" i="5"/>
  <c r="BH38" i="7"/>
  <c r="BH39" i="7"/>
  <c r="BD39" i="7"/>
  <c r="BD38" i="7"/>
  <c r="AJ39" i="7"/>
  <c r="AJ38" i="7"/>
  <c r="X39" i="7"/>
  <c r="X38" i="7"/>
  <c r="T39" i="7"/>
  <c r="T38" i="7"/>
  <c r="P39" i="7"/>
  <c r="P38" i="7"/>
  <c r="L39" i="7"/>
  <c r="L38" i="7"/>
  <c r="H39" i="7"/>
  <c r="H38" i="7"/>
  <c r="P39" i="8"/>
  <c r="P38" i="8"/>
  <c r="L39" i="8"/>
  <c r="L38" i="8"/>
  <c r="H39" i="8"/>
  <c r="H38" i="8"/>
  <c r="L39" i="9"/>
  <c r="H39" i="9"/>
  <c r="L38" i="11"/>
  <c r="H39" i="11"/>
  <c r="H38" i="11"/>
  <c r="D39" i="13"/>
  <c r="D38" i="13"/>
  <c r="D39" i="12"/>
  <c r="D38" i="12"/>
  <c r="P39" i="14"/>
  <c r="P38" i="14"/>
  <c r="L39" i="14"/>
  <c r="L38" i="14"/>
  <c r="H39" i="14"/>
  <c r="H38" i="14"/>
  <c r="P39" i="15"/>
  <c r="P38" i="15"/>
  <c r="L39" i="15"/>
  <c r="L38" i="15"/>
  <c r="H39" i="15"/>
  <c r="H38" i="15"/>
  <c r="P39" i="16"/>
  <c r="P38" i="16"/>
  <c r="L39" i="16"/>
  <c r="L38" i="16"/>
  <c r="H39" i="16"/>
  <c r="H38" i="16"/>
  <c r="D39" i="1"/>
  <c r="D37" i="17"/>
  <c r="D36" i="17"/>
  <c r="D37" i="19"/>
  <c r="D36" i="19"/>
  <c r="P37" i="6"/>
  <c r="P36" i="6"/>
  <c r="L37" i="6"/>
  <c r="L36" i="6"/>
  <c r="H37" i="6"/>
  <c r="H36" i="6"/>
  <c r="D37" i="5"/>
  <c r="D36" i="5"/>
  <c r="BH37" i="7"/>
  <c r="BH36" i="7"/>
  <c r="BD37" i="7"/>
  <c r="BD36" i="7"/>
  <c r="AJ37" i="7"/>
  <c r="AJ36" i="7"/>
  <c r="AF37" i="7"/>
  <c r="AF36" i="7"/>
  <c r="L37" i="7"/>
  <c r="L36" i="7"/>
  <c r="X37" i="8"/>
  <c r="X36" i="8"/>
  <c r="L37" i="9"/>
  <c r="L36" i="9"/>
  <c r="H37" i="9"/>
  <c r="H36" i="9"/>
  <c r="L36" i="10"/>
  <c r="H36" i="10"/>
  <c r="L37" i="11"/>
  <c r="L36" i="11"/>
  <c r="H36" i="11"/>
  <c r="D37" i="13"/>
  <c r="D36" i="13"/>
  <c r="D37" i="12"/>
  <c r="D36" i="12"/>
  <c r="P37" i="14"/>
  <c r="P36" i="14"/>
  <c r="L37" i="14"/>
  <c r="L36" i="14"/>
  <c r="H37" i="14"/>
  <c r="H36" i="14"/>
  <c r="P37" i="15"/>
  <c r="P36" i="15"/>
  <c r="L37" i="15"/>
  <c r="L36" i="15"/>
  <c r="H37" i="15"/>
  <c r="H36" i="15"/>
  <c r="H37" i="16"/>
  <c r="P37" i="16"/>
  <c r="P36" i="16"/>
  <c r="L37" i="16"/>
  <c r="L36" i="16"/>
  <c r="H36" i="16"/>
  <c r="D36" i="1"/>
  <c r="T48" i="7" l="1"/>
  <c r="T168" i="7" s="1"/>
  <c r="R60" i="7"/>
  <c r="R168" i="7" s="1"/>
  <c r="Q60" i="7"/>
  <c r="Q168" i="7" s="1"/>
  <c r="S60" i="7"/>
  <c r="S168" i="7" s="1"/>
  <c r="D55" i="20"/>
  <c r="D35" i="17"/>
  <c r="D34" i="17"/>
  <c r="D33" i="17"/>
  <c r="D32" i="17"/>
  <c r="D31" i="17"/>
  <c r="D30" i="17"/>
  <c r="D35" i="19"/>
  <c r="D34" i="19"/>
  <c r="D33" i="19"/>
  <c r="D32" i="19"/>
  <c r="D31" i="19"/>
  <c r="D30" i="19"/>
  <c r="P35" i="6"/>
  <c r="P34" i="6"/>
  <c r="P33" i="6"/>
  <c r="P32" i="6"/>
  <c r="P31" i="6"/>
  <c r="P30" i="6"/>
  <c r="L35" i="6"/>
  <c r="L34" i="6"/>
  <c r="L33" i="6"/>
  <c r="L32" i="6"/>
  <c r="L31" i="6"/>
  <c r="L30" i="6"/>
  <c r="H32" i="6"/>
  <c r="H31" i="6"/>
  <c r="H30" i="6"/>
  <c r="D34" i="5"/>
  <c r="D32" i="5"/>
  <c r="D31" i="5"/>
  <c r="BH34" i="7"/>
  <c r="BH33" i="7"/>
  <c r="BH32" i="7"/>
  <c r="BH31" i="7"/>
  <c r="BH30" i="7"/>
  <c r="BD34" i="7"/>
  <c r="BD33" i="7"/>
  <c r="BD32" i="7"/>
  <c r="BD31" i="7"/>
  <c r="BD30" i="7"/>
  <c r="AF34" i="7"/>
  <c r="AF33" i="7"/>
  <c r="AF32" i="7"/>
  <c r="AF31" i="7"/>
  <c r="AF30" i="7"/>
  <c r="X34" i="7"/>
  <c r="X33" i="7"/>
  <c r="X32" i="7"/>
  <c r="X31" i="7"/>
  <c r="X30" i="7"/>
  <c r="L35" i="7"/>
  <c r="L34" i="7"/>
  <c r="L33" i="7"/>
  <c r="L32" i="7"/>
  <c r="L31" i="7"/>
  <c r="L30" i="7"/>
  <c r="H35" i="7"/>
  <c r="H34" i="7"/>
  <c r="H33" i="7"/>
  <c r="H32" i="7"/>
  <c r="H31" i="7"/>
  <c r="H30" i="7"/>
  <c r="AB35" i="8"/>
  <c r="AB34" i="8"/>
  <c r="AB33" i="8"/>
  <c r="AB32" i="8"/>
  <c r="AB31" i="8"/>
  <c r="AB30" i="8"/>
  <c r="X35" i="8"/>
  <c r="X34" i="8"/>
  <c r="X33" i="8"/>
  <c r="X32" i="8"/>
  <c r="X31" i="8"/>
  <c r="X30" i="8"/>
  <c r="T35" i="8"/>
  <c r="T34" i="8"/>
  <c r="T33" i="8"/>
  <c r="T32" i="8"/>
  <c r="T31" i="8"/>
  <c r="T30" i="8"/>
  <c r="P35" i="8"/>
  <c r="P34" i="8"/>
  <c r="P33" i="8"/>
  <c r="P32" i="8"/>
  <c r="P31" i="8"/>
  <c r="P30" i="8"/>
  <c r="L35" i="8"/>
  <c r="L34" i="8"/>
  <c r="L33" i="8"/>
  <c r="L32" i="8"/>
  <c r="L31" i="8"/>
  <c r="L30" i="8"/>
  <c r="H35" i="8"/>
  <c r="H34" i="8"/>
  <c r="H33" i="8"/>
  <c r="H32" i="8"/>
  <c r="H31" i="8"/>
  <c r="H30" i="8"/>
  <c r="L35" i="9"/>
  <c r="L34" i="9"/>
  <c r="L33" i="9"/>
  <c r="L32" i="9"/>
  <c r="L31" i="9"/>
  <c r="L30" i="9"/>
  <c r="H35" i="9"/>
  <c r="H34" i="9"/>
  <c r="H33" i="9"/>
  <c r="H32" i="9"/>
  <c r="H31" i="9"/>
  <c r="H30" i="9"/>
  <c r="L35" i="10"/>
  <c r="L34" i="10"/>
  <c r="L33" i="10"/>
  <c r="L32" i="10"/>
  <c r="L30" i="10"/>
  <c r="H35" i="10"/>
  <c r="H34" i="10"/>
  <c r="H32" i="10"/>
  <c r="H31" i="10"/>
  <c r="H30" i="10"/>
  <c r="L35" i="11"/>
  <c r="L34" i="11"/>
  <c r="L33" i="11"/>
  <c r="L32" i="11"/>
  <c r="L31" i="11"/>
  <c r="L30" i="11"/>
  <c r="H34" i="11"/>
  <c r="H33" i="11"/>
  <c r="H32" i="11"/>
  <c r="D35" i="13"/>
  <c r="D34" i="13"/>
  <c r="D33" i="13"/>
  <c r="D32" i="13"/>
  <c r="D31" i="13"/>
  <c r="D30" i="13"/>
  <c r="D35" i="12"/>
  <c r="D34" i="12"/>
  <c r="D33" i="12"/>
  <c r="D32" i="12"/>
  <c r="D31" i="12"/>
  <c r="D30" i="12"/>
  <c r="P34" i="14"/>
  <c r="P35" i="14"/>
  <c r="P33" i="14"/>
  <c r="P32" i="14"/>
  <c r="P31" i="14"/>
  <c r="P30" i="14"/>
  <c r="L35" i="14"/>
  <c r="L34" i="14"/>
  <c r="L33" i="14"/>
  <c r="L32" i="14"/>
  <c r="L31" i="14"/>
  <c r="L30" i="14"/>
  <c r="H35" i="14"/>
  <c r="H34" i="14"/>
  <c r="H33" i="14"/>
  <c r="H32" i="14"/>
  <c r="H31" i="14"/>
  <c r="H30" i="14"/>
  <c r="L33" i="15"/>
  <c r="L32" i="15"/>
  <c r="L31" i="15"/>
  <c r="L30" i="15"/>
  <c r="P35" i="15"/>
  <c r="P34" i="15"/>
  <c r="P33" i="15"/>
  <c r="P32" i="15"/>
  <c r="P31" i="15"/>
  <c r="P30" i="15"/>
  <c r="L35" i="15"/>
  <c r="L34" i="15"/>
  <c r="H35" i="15"/>
  <c r="H34" i="15"/>
  <c r="H33" i="15"/>
  <c r="H32" i="15"/>
  <c r="H31" i="15"/>
  <c r="H30" i="15"/>
  <c r="P31" i="16"/>
  <c r="P30" i="16"/>
  <c r="L31" i="16"/>
  <c r="L30" i="16"/>
  <c r="H31" i="16"/>
  <c r="H30" i="16"/>
  <c r="D35" i="1"/>
  <c r="D34" i="1"/>
  <c r="D32" i="1"/>
  <c r="D31" i="1"/>
  <c r="D30" i="1"/>
  <c r="O60" i="7" l="1"/>
  <c r="O168" i="7" s="1"/>
  <c r="M60" i="7"/>
  <c r="M168" i="7" s="1"/>
  <c r="N60" i="7"/>
  <c r="N168" i="7" s="1"/>
  <c r="D29" i="17"/>
  <c r="D28" i="17"/>
  <c r="D27" i="17"/>
  <c r="D26" i="17"/>
  <c r="D27" i="19"/>
  <c r="D29" i="19"/>
  <c r="D26" i="19"/>
  <c r="P29" i="6"/>
  <c r="P28" i="6"/>
  <c r="P27" i="6"/>
  <c r="P26" i="6"/>
  <c r="L29" i="6"/>
  <c r="L28" i="6"/>
  <c r="L27" i="6"/>
  <c r="L26" i="6"/>
  <c r="H29" i="6"/>
  <c r="H28" i="6"/>
  <c r="H27" i="6"/>
  <c r="H26" i="6"/>
  <c r="E26" i="6"/>
  <c r="C26" i="6"/>
  <c r="D29" i="5"/>
  <c r="D28" i="5"/>
  <c r="D27" i="5"/>
  <c r="D26" i="5"/>
  <c r="BH28" i="7"/>
  <c r="BD28" i="7"/>
  <c r="AZ28" i="7"/>
  <c r="AN28" i="7"/>
  <c r="AF28" i="7"/>
  <c r="AB28" i="7"/>
  <c r="X28" i="7"/>
  <c r="P28" i="7"/>
  <c r="L28" i="7"/>
  <c r="H28" i="7"/>
  <c r="L27" i="7"/>
  <c r="P29" i="7"/>
  <c r="P27" i="7"/>
  <c r="P26" i="7"/>
  <c r="BH29" i="7"/>
  <c r="BH27" i="7"/>
  <c r="BH26" i="7"/>
  <c r="BD29" i="7"/>
  <c r="BD26" i="7"/>
  <c r="AZ26" i="7"/>
  <c r="AR29" i="7"/>
  <c r="AR48" i="7" s="1"/>
  <c r="AR168" i="7" s="1"/>
  <c r="AN26" i="7"/>
  <c r="AF27" i="7"/>
  <c r="AF26" i="7"/>
  <c r="AB27" i="7"/>
  <c r="X29" i="7"/>
  <c r="X27" i="7"/>
  <c r="X26" i="7"/>
  <c r="L29" i="7"/>
  <c r="L26" i="7"/>
  <c r="H29" i="7"/>
  <c r="H27" i="7"/>
  <c r="H26" i="7"/>
  <c r="AB28" i="8"/>
  <c r="AB26" i="8"/>
  <c r="X29" i="8"/>
  <c r="X27" i="8"/>
  <c r="P29" i="8"/>
  <c r="P28" i="8"/>
  <c r="P27" i="8"/>
  <c r="P26" i="8"/>
  <c r="L29" i="8"/>
  <c r="L28" i="8"/>
  <c r="L27" i="8"/>
  <c r="H29" i="8"/>
  <c r="H48" i="8" s="1"/>
  <c r="H168" i="8" s="1"/>
  <c r="L28" i="9"/>
  <c r="H29" i="9"/>
  <c r="H28" i="9"/>
  <c r="H27" i="9"/>
  <c r="L28" i="10"/>
  <c r="L26" i="10"/>
  <c r="H29" i="10"/>
  <c r="H28" i="10"/>
  <c r="H26" i="10"/>
  <c r="L27" i="11"/>
  <c r="L26" i="11"/>
  <c r="H28" i="11"/>
  <c r="H29" i="11"/>
  <c r="D28" i="13"/>
  <c r="D29" i="13"/>
  <c r="D27" i="13"/>
  <c r="D26" i="13"/>
  <c r="D29" i="12"/>
  <c r="D28" i="12"/>
  <c r="D27" i="12"/>
  <c r="D26" i="12"/>
  <c r="P29" i="14"/>
  <c r="P28" i="14"/>
  <c r="P27" i="14"/>
  <c r="L28" i="14"/>
  <c r="P26" i="14"/>
  <c r="L27" i="14"/>
  <c r="H29" i="14"/>
  <c r="H26" i="14"/>
  <c r="P29" i="15"/>
  <c r="P28" i="15"/>
  <c r="P27" i="15"/>
  <c r="P26" i="15"/>
  <c r="L29" i="15"/>
  <c r="L28" i="15"/>
  <c r="L27" i="15"/>
  <c r="L26" i="15"/>
  <c r="H29" i="15"/>
  <c r="H28" i="15"/>
  <c r="H27" i="15"/>
  <c r="H26" i="15"/>
  <c r="P29" i="16"/>
  <c r="P27" i="16"/>
  <c r="L29" i="16"/>
  <c r="L27" i="16"/>
  <c r="H29" i="16"/>
  <c r="H27" i="16"/>
  <c r="D29" i="1"/>
  <c r="D28" i="1"/>
  <c r="D27" i="1"/>
  <c r="D26" i="1"/>
  <c r="D25" i="19"/>
  <c r="H25" i="6"/>
  <c r="P24" i="6"/>
  <c r="L24" i="6"/>
  <c r="H24" i="6"/>
  <c r="D25" i="5"/>
  <c r="D24" i="5"/>
  <c r="X25" i="7"/>
  <c r="X24" i="7"/>
  <c r="L25" i="8"/>
  <c r="L24" i="8"/>
  <c r="L24" i="9"/>
  <c r="L24" i="10"/>
  <c r="H24" i="10"/>
  <c r="H24" i="11"/>
  <c r="D25" i="13"/>
  <c r="D24" i="13"/>
  <c r="D25" i="12"/>
  <c r="D24" i="12"/>
  <c r="P25" i="14"/>
  <c r="L25" i="14"/>
  <c r="P24" i="14"/>
  <c r="L24" i="14"/>
  <c r="P24" i="16"/>
  <c r="L24" i="16"/>
  <c r="H24" i="16"/>
  <c r="D25" i="1"/>
  <c r="D24" i="1"/>
  <c r="D22" i="17"/>
  <c r="D22" i="19"/>
  <c r="P22" i="6"/>
  <c r="L22" i="6"/>
  <c r="H22" i="6"/>
  <c r="D22" i="5"/>
  <c r="AN22" i="7"/>
  <c r="AF22" i="7"/>
  <c r="P22" i="7"/>
  <c r="L22" i="7"/>
  <c r="C22" i="8"/>
  <c r="AB22" i="8"/>
  <c r="X22" i="8"/>
  <c r="P22" i="8"/>
  <c r="L22" i="9"/>
  <c r="H22" i="9"/>
  <c r="C22" i="9"/>
  <c r="C22" i="1"/>
  <c r="D22" i="13"/>
  <c r="P22" i="14"/>
  <c r="L22" i="14"/>
  <c r="H22" i="14"/>
  <c r="F22" i="14"/>
  <c r="E22" i="14"/>
  <c r="P22" i="15"/>
  <c r="L22" i="15"/>
  <c r="H22" i="15"/>
  <c r="K21" i="6"/>
  <c r="H21" i="6"/>
  <c r="D21" i="5"/>
  <c r="BH21" i="7"/>
  <c r="H21" i="9"/>
  <c r="D21" i="13"/>
  <c r="D21" i="12"/>
  <c r="P21" i="14"/>
  <c r="H21" i="14"/>
  <c r="F21" i="14"/>
  <c r="E21" i="14"/>
  <c r="C21" i="14"/>
  <c r="P21" i="15"/>
  <c r="L21" i="15"/>
  <c r="H21" i="15"/>
  <c r="D20" i="1"/>
  <c r="D21" i="1"/>
  <c r="P19" i="6"/>
  <c r="L19" i="6"/>
  <c r="H19" i="6"/>
  <c r="BH19" i="7"/>
  <c r="D19" i="7" s="1"/>
  <c r="C19" i="7"/>
  <c r="X19" i="8"/>
  <c r="T19" i="8"/>
  <c r="P19" i="8"/>
  <c r="L19" i="8"/>
  <c r="C19" i="8"/>
  <c r="D19" i="14"/>
  <c r="C19" i="14"/>
  <c r="D19" i="1"/>
  <c r="C18" i="6"/>
  <c r="D22" i="1" l="1"/>
  <c r="AZ48" i="7"/>
  <c r="AZ168" i="7" s="1"/>
  <c r="P48" i="8"/>
  <c r="P168" i="8" s="1"/>
  <c r="J60" i="7"/>
  <c r="J168" i="7" s="1"/>
  <c r="I60" i="7"/>
  <c r="I168" i="7" s="1"/>
  <c r="K60" i="7"/>
  <c r="K168" i="7" s="1"/>
  <c r="G168" i="7"/>
  <c r="L48" i="8"/>
  <c r="L168" i="8" s="1"/>
  <c r="L21" i="6"/>
  <c r="K48" i="6"/>
  <c r="K168" i="6" s="1"/>
  <c r="P48" i="7"/>
  <c r="P168" i="7" s="1"/>
  <c r="AB48" i="7"/>
  <c r="AB168" i="7" s="1"/>
  <c r="AF48" i="7"/>
  <c r="AF168" i="7" s="1"/>
  <c r="D22" i="9"/>
  <c r="D26" i="6"/>
  <c r="D22" i="14"/>
  <c r="D21" i="14"/>
  <c r="D19" i="8"/>
  <c r="D18" i="7" l="1"/>
  <c r="C18" i="7"/>
  <c r="D18" i="8"/>
  <c r="C18" i="8"/>
  <c r="C18" i="9"/>
  <c r="H18" i="10"/>
  <c r="D18" i="10" s="1"/>
  <c r="C18" i="10"/>
  <c r="E18" i="11"/>
  <c r="D18" i="11"/>
  <c r="C18" i="11"/>
  <c r="D18" i="13"/>
  <c r="D18" i="14"/>
  <c r="C18" i="14"/>
  <c r="H17" i="6"/>
  <c r="F17" i="6"/>
  <c r="C17" i="6"/>
  <c r="D17" i="7"/>
  <c r="C17" i="7"/>
  <c r="X17" i="8"/>
  <c r="D17" i="8" s="1"/>
  <c r="C17" i="8"/>
  <c r="F17" i="9"/>
  <c r="E17" i="9"/>
  <c r="D17" i="9"/>
  <c r="C17" i="9"/>
  <c r="H17" i="10"/>
  <c r="D17" i="10" s="1"/>
  <c r="C17" i="10"/>
  <c r="H17" i="11"/>
  <c r="C17" i="11"/>
  <c r="D17" i="13"/>
  <c r="L17" i="14"/>
  <c r="C17" i="14"/>
  <c r="P17" i="15"/>
  <c r="H17" i="15"/>
  <c r="C17" i="15"/>
  <c r="C17" i="16"/>
  <c r="D17" i="1"/>
  <c r="D17" i="11" l="1"/>
  <c r="C17" i="20"/>
  <c r="C16" i="6" l="1"/>
  <c r="C14" i="11"/>
  <c r="P16" i="16"/>
  <c r="L16" i="16"/>
  <c r="H16" i="16"/>
  <c r="F16" i="16"/>
  <c r="E16" i="16"/>
  <c r="C16" i="16"/>
  <c r="P16" i="6"/>
  <c r="L16" i="6"/>
  <c r="H16" i="6"/>
  <c r="C16" i="5"/>
  <c r="BH16" i="7"/>
  <c r="AN16" i="7"/>
  <c r="AN48" i="7" s="1"/>
  <c r="AN168" i="7" s="1"/>
  <c r="AJ16" i="7"/>
  <c r="AJ48" i="7" s="1"/>
  <c r="AJ168" i="7" s="1"/>
  <c r="X16" i="7"/>
  <c r="L16" i="7"/>
  <c r="L48" i="7" s="1"/>
  <c r="L168" i="7" s="1"/>
  <c r="X16" i="8"/>
  <c r="D16" i="8" s="1"/>
  <c r="F16" i="8"/>
  <c r="E16" i="8"/>
  <c r="C16" i="8"/>
  <c r="H16" i="9"/>
  <c r="L16" i="10"/>
  <c r="H16" i="10"/>
  <c r="D16" i="13"/>
  <c r="P16" i="14"/>
  <c r="L16" i="14"/>
  <c r="C16" i="14"/>
  <c r="L16" i="15"/>
  <c r="C16" i="15"/>
  <c r="D16" i="1"/>
  <c r="D15" i="13"/>
  <c r="D15" i="12"/>
  <c r="D15" i="17"/>
  <c r="D15" i="19"/>
  <c r="H15" i="6"/>
  <c r="D15" i="6" s="1"/>
  <c r="F15" i="6"/>
  <c r="E15" i="6"/>
  <c r="C15" i="6"/>
  <c r="D15" i="5"/>
  <c r="H15" i="7"/>
  <c r="F15" i="7"/>
  <c r="E15" i="7"/>
  <c r="C15" i="7"/>
  <c r="H15" i="10"/>
  <c r="C15" i="14"/>
  <c r="D15" i="14"/>
  <c r="E15" i="14"/>
  <c r="F15" i="14"/>
  <c r="D14" i="17"/>
  <c r="D14" i="19"/>
  <c r="P14" i="6"/>
  <c r="L14" i="6"/>
  <c r="H14" i="6"/>
  <c r="C14" i="6"/>
  <c r="D14" i="5"/>
  <c r="BH14" i="7"/>
  <c r="BD14" i="7"/>
  <c r="BD48" i="7" s="1"/>
  <c r="BD168" i="7" s="1"/>
  <c r="X14" i="7"/>
  <c r="C14" i="7"/>
  <c r="X48" i="7" l="1"/>
  <c r="X168" i="7" s="1"/>
  <c r="D48" i="19"/>
  <c r="D168" i="19" s="1"/>
  <c r="D16" i="5"/>
  <c r="BH48" i="7"/>
  <c r="BH168" i="7" s="1"/>
  <c r="D15" i="7"/>
  <c r="H48" i="7"/>
  <c r="D48" i="17"/>
  <c r="D14" i="7"/>
  <c r="D16" i="16"/>
  <c r="AB14" i="8"/>
  <c r="AB48" i="8" s="1"/>
  <c r="AB168" i="8" s="1"/>
  <c r="X14" i="8"/>
  <c r="X48" i="8" s="1"/>
  <c r="X168" i="8" s="1"/>
  <c r="T14" i="8"/>
  <c r="T48" i="8" s="1"/>
  <c r="T168" i="8" s="1"/>
  <c r="G14" i="9"/>
  <c r="E14" i="9"/>
  <c r="E15" i="9"/>
  <c r="D15" i="9"/>
  <c r="K14" i="9"/>
  <c r="F14" i="9"/>
  <c r="G14" i="10"/>
  <c r="L14" i="10"/>
  <c r="L14" i="11"/>
  <c r="D14" i="13"/>
  <c r="D48" i="13" s="1"/>
  <c r="D14" i="12"/>
  <c r="P14" i="14"/>
  <c r="P48" i="14" s="1"/>
  <c r="L14" i="14"/>
  <c r="L48" i="14" s="1"/>
  <c r="H14" i="14"/>
  <c r="H48" i="14" s="1"/>
  <c r="C14" i="14"/>
  <c r="P14" i="15"/>
  <c r="P48" i="15" s="1"/>
  <c r="L14" i="15"/>
  <c r="L48" i="15" s="1"/>
  <c r="H14" i="15"/>
  <c r="H48" i="15" s="1"/>
  <c r="C14" i="16"/>
  <c r="P14" i="16"/>
  <c r="L14" i="16"/>
  <c r="H14" i="16"/>
  <c r="C14" i="1"/>
  <c r="D14" i="1" l="1"/>
  <c r="H14" i="10"/>
  <c r="L14" i="9"/>
  <c r="D14" i="14"/>
  <c r="D14" i="16"/>
  <c r="C14" i="9"/>
  <c r="H14" i="9"/>
  <c r="C14" i="10"/>
  <c r="C12" i="1"/>
  <c r="F166" i="1"/>
  <c r="E166" i="1"/>
  <c r="F133" i="1"/>
  <c r="E133" i="1"/>
  <c r="F77" i="1"/>
  <c r="E77" i="1"/>
  <c r="F73" i="1"/>
  <c r="E73" i="1"/>
  <c r="C72" i="1"/>
  <c r="C71" i="1"/>
  <c r="C69" i="1"/>
  <c r="C66" i="1"/>
  <c r="C65" i="1"/>
  <c r="C47" i="1"/>
  <c r="C44" i="1"/>
  <c r="C42" i="1"/>
  <c r="C38" i="1"/>
  <c r="C37" i="1"/>
  <c r="C33" i="1"/>
  <c r="C15" i="1"/>
  <c r="F12" i="1"/>
  <c r="E12" i="1"/>
  <c r="D11" i="1"/>
  <c r="D8" i="1"/>
  <c r="D7" i="1"/>
  <c r="D37" i="1" l="1"/>
  <c r="D71" i="1"/>
  <c r="D72" i="1"/>
  <c r="D33" i="1"/>
  <c r="D44" i="1"/>
  <c r="D47" i="1"/>
  <c r="D38" i="1"/>
  <c r="D65" i="1"/>
  <c r="D66" i="1"/>
  <c r="D14" i="9"/>
  <c r="D57" i="1"/>
  <c r="C77" i="1"/>
  <c r="D42" i="1"/>
  <c r="C166" i="1"/>
  <c r="F168" i="1"/>
  <c r="C73" i="1"/>
  <c r="C48" i="1"/>
  <c r="D15" i="1"/>
  <c r="D12" i="1"/>
  <c r="D69" i="1"/>
  <c r="D60" i="1" l="1"/>
  <c r="D77" i="1"/>
  <c r="D73" i="1"/>
  <c r="D48" i="1"/>
  <c r="D168" i="1" l="1"/>
  <c r="I12" i="16"/>
  <c r="J12" i="16"/>
  <c r="I48" i="16"/>
  <c r="J48" i="16"/>
  <c r="I73" i="16"/>
  <c r="J73" i="16"/>
  <c r="I77" i="16"/>
  <c r="J77" i="16"/>
  <c r="I133" i="16"/>
  <c r="J133" i="16"/>
  <c r="I166" i="16"/>
  <c r="J166" i="16"/>
  <c r="M12" i="16"/>
  <c r="M48" i="16"/>
  <c r="M73" i="16"/>
  <c r="M77" i="16"/>
  <c r="M133" i="16"/>
  <c r="N12" i="16"/>
  <c r="N48" i="16"/>
  <c r="N73" i="16"/>
  <c r="N77" i="16"/>
  <c r="N133" i="16"/>
  <c r="N166" i="16"/>
  <c r="H11" i="7"/>
  <c r="H12" i="7" s="1"/>
  <c r="F11" i="7"/>
  <c r="E11" i="7"/>
  <c r="C11" i="7"/>
  <c r="F10" i="7"/>
  <c r="E10" i="7"/>
  <c r="D10" i="7"/>
  <c r="C10" i="7"/>
  <c r="F11" i="8"/>
  <c r="E11" i="8"/>
  <c r="D11" i="8"/>
  <c r="C11" i="8"/>
  <c r="F9" i="8"/>
  <c r="E9" i="8"/>
  <c r="D9" i="8"/>
  <c r="D11" i="6"/>
  <c r="C11" i="6"/>
  <c r="D10" i="6"/>
  <c r="C10" i="6"/>
  <c r="D11" i="9"/>
  <c r="C11" i="9"/>
  <c r="D10" i="9"/>
  <c r="C10" i="9"/>
  <c r="D11" i="10"/>
  <c r="C11" i="10"/>
  <c r="D10" i="10"/>
  <c r="C10" i="10"/>
  <c r="D11" i="11"/>
  <c r="C11" i="11"/>
  <c r="C10" i="11"/>
  <c r="F12" i="13"/>
  <c r="E12" i="13"/>
  <c r="C12" i="13"/>
  <c r="D12" i="13"/>
  <c r="F11" i="14"/>
  <c r="E11" i="14"/>
  <c r="D11" i="14"/>
  <c r="C11" i="14"/>
  <c r="F11" i="15"/>
  <c r="E11" i="15"/>
  <c r="D11" i="15"/>
  <c r="C11" i="15"/>
  <c r="F10" i="16"/>
  <c r="E10" i="16"/>
  <c r="D10" i="16"/>
  <c r="C10" i="16"/>
  <c r="R12" i="16"/>
  <c r="Q12" i="16"/>
  <c r="P12" i="16"/>
  <c r="O12" i="16"/>
  <c r="L12" i="16"/>
  <c r="K12" i="16"/>
  <c r="G12" i="16"/>
  <c r="H12" i="16"/>
  <c r="C73" i="17"/>
  <c r="C77" i="19"/>
  <c r="C48" i="19"/>
  <c r="C12" i="19"/>
  <c r="F162" i="6"/>
  <c r="E162" i="6"/>
  <c r="D162" i="6"/>
  <c r="C162" i="6"/>
  <c r="F161" i="6"/>
  <c r="E161" i="6"/>
  <c r="D161" i="6"/>
  <c r="C161" i="6"/>
  <c r="F160" i="6"/>
  <c r="E160" i="6"/>
  <c r="D160" i="6"/>
  <c r="C160" i="6"/>
  <c r="F159" i="6"/>
  <c r="E159" i="6"/>
  <c r="D159" i="6"/>
  <c r="C159" i="6"/>
  <c r="F158" i="6"/>
  <c r="E158" i="6"/>
  <c r="D158" i="6"/>
  <c r="C158" i="6"/>
  <c r="F156" i="6"/>
  <c r="E156" i="6"/>
  <c r="D156" i="6"/>
  <c r="C156" i="6"/>
  <c r="F154" i="6"/>
  <c r="E154" i="6"/>
  <c r="D154" i="6"/>
  <c r="C154" i="6"/>
  <c r="F153" i="6"/>
  <c r="E153" i="6"/>
  <c r="D153" i="6"/>
  <c r="C153" i="6"/>
  <c r="F151" i="6"/>
  <c r="E151" i="6"/>
  <c r="D151" i="6"/>
  <c r="C151" i="6"/>
  <c r="F150" i="6"/>
  <c r="E150" i="6"/>
  <c r="D150" i="6"/>
  <c r="C150" i="6"/>
  <c r="F165" i="6"/>
  <c r="E165" i="6"/>
  <c r="D165" i="6"/>
  <c r="C165" i="6"/>
  <c r="F164" i="6"/>
  <c r="E164" i="6"/>
  <c r="D164" i="6"/>
  <c r="C164" i="6"/>
  <c r="F148" i="6"/>
  <c r="E148" i="6"/>
  <c r="D148" i="6"/>
  <c r="C148" i="6"/>
  <c r="F147" i="6"/>
  <c r="E147" i="6"/>
  <c r="D147" i="6"/>
  <c r="C147" i="6"/>
  <c r="F146" i="6"/>
  <c r="E146" i="6"/>
  <c r="D146" i="6"/>
  <c r="C146" i="6"/>
  <c r="F145" i="6"/>
  <c r="E145" i="6"/>
  <c r="D145" i="6"/>
  <c r="C145" i="6"/>
  <c r="F142" i="6"/>
  <c r="E142" i="6"/>
  <c r="D142" i="6"/>
  <c r="C142" i="6"/>
  <c r="F149" i="6"/>
  <c r="E149" i="6"/>
  <c r="D149" i="6"/>
  <c r="C149" i="6"/>
  <c r="F141" i="6"/>
  <c r="E141" i="6"/>
  <c r="D141" i="6"/>
  <c r="C141" i="6"/>
  <c r="F140" i="6"/>
  <c r="E140" i="6"/>
  <c r="D140" i="6"/>
  <c r="C140" i="6"/>
  <c r="F139" i="6"/>
  <c r="E139" i="6"/>
  <c r="D139" i="6"/>
  <c r="C139" i="6"/>
  <c r="F138" i="6"/>
  <c r="E138" i="6"/>
  <c r="D138" i="6"/>
  <c r="C138" i="6"/>
  <c r="F137" i="6"/>
  <c r="E137" i="6"/>
  <c r="D137" i="6"/>
  <c r="C137" i="6"/>
  <c r="F136" i="6"/>
  <c r="E136" i="6"/>
  <c r="D136" i="6"/>
  <c r="C136" i="6"/>
  <c r="F132" i="6"/>
  <c r="E132" i="6"/>
  <c r="C132" i="6"/>
  <c r="F121" i="6"/>
  <c r="E121" i="6"/>
  <c r="D121" i="6"/>
  <c r="C121" i="6"/>
  <c r="F119" i="6"/>
  <c r="E119" i="6"/>
  <c r="D119" i="6"/>
  <c r="C119" i="6"/>
  <c r="F120" i="6"/>
  <c r="E120" i="6"/>
  <c r="D120" i="6"/>
  <c r="C120" i="6"/>
  <c r="F122" i="6"/>
  <c r="E122" i="6"/>
  <c r="C122" i="6"/>
  <c r="F125" i="6"/>
  <c r="E125" i="6"/>
  <c r="D125" i="6"/>
  <c r="C125" i="6"/>
  <c r="F123" i="6"/>
  <c r="E123" i="6"/>
  <c r="C123" i="6"/>
  <c r="F118" i="6"/>
  <c r="E118" i="6"/>
  <c r="D118" i="6"/>
  <c r="C118" i="6"/>
  <c r="F117" i="6"/>
  <c r="E117" i="6"/>
  <c r="D117" i="6"/>
  <c r="C117" i="6"/>
  <c r="F131" i="6"/>
  <c r="E131" i="6"/>
  <c r="D131" i="6"/>
  <c r="C131" i="6"/>
  <c r="F130" i="6"/>
  <c r="E130" i="6"/>
  <c r="D130" i="6"/>
  <c r="C130" i="6"/>
  <c r="F129" i="6"/>
  <c r="E129" i="6"/>
  <c r="D129" i="6"/>
  <c r="C129" i="6"/>
  <c r="F103" i="6"/>
  <c r="E103" i="6"/>
  <c r="C103" i="6"/>
  <c r="F102" i="6"/>
  <c r="E102" i="6"/>
  <c r="F100" i="6"/>
  <c r="E100" i="6"/>
  <c r="C100" i="6"/>
  <c r="F99" i="6"/>
  <c r="E99" i="6"/>
  <c r="C99" i="6"/>
  <c r="F98" i="6"/>
  <c r="E98" i="6"/>
  <c r="C98" i="6"/>
  <c r="F97" i="6"/>
  <c r="E97" i="6"/>
  <c r="C97" i="6"/>
  <c r="F114" i="6"/>
  <c r="E114" i="6"/>
  <c r="D114" i="6"/>
  <c r="C114" i="6"/>
  <c r="F113" i="6"/>
  <c r="E113" i="6"/>
  <c r="D113" i="6"/>
  <c r="C113" i="6"/>
  <c r="F112" i="6"/>
  <c r="E112" i="6"/>
  <c r="D112" i="6"/>
  <c r="C112" i="6"/>
  <c r="F110" i="6"/>
  <c r="E110" i="6"/>
  <c r="D110" i="6"/>
  <c r="C110" i="6"/>
  <c r="F124" i="6"/>
  <c r="E124" i="6"/>
  <c r="D124" i="6"/>
  <c r="C124" i="6"/>
  <c r="F111" i="6"/>
  <c r="E111" i="6"/>
  <c r="C111" i="6"/>
  <c r="F96" i="6"/>
  <c r="E96" i="6"/>
  <c r="C96" i="6"/>
  <c r="F104" i="6"/>
  <c r="E104" i="6"/>
  <c r="F109" i="6"/>
  <c r="E109" i="6"/>
  <c r="D109" i="6"/>
  <c r="C109" i="6"/>
  <c r="F108" i="6"/>
  <c r="E108" i="6"/>
  <c r="D108" i="6"/>
  <c r="C108" i="6"/>
  <c r="F107" i="6"/>
  <c r="E107" i="6"/>
  <c r="D107" i="6"/>
  <c r="C107" i="6"/>
  <c r="F95" i="6"/>
  <c r="E95" i="6"/>
  <c r="C95" i="6"/>
  <c r="F106" i="6"/>
  <c r="E106" i="6"/>
  <c r="C106" i="6"/>
  <c r="F105" i="6"/>
  <c r="E105" i="6"/>
  <c r="D105" i="6"/>
  <c r="C105" i="6"/>
  <c r="F91" i="6"/>
  <c r="E91" i="6"/>
  <c r="C91" i="6"/>
  <c r="F88" i="6"/>
  <c r="E88" i="6"/>
  <c r="C88" i="6"/>
  <c r="F89" i="6"/>
  <c r="E89" i="6"/>
  <c r="C89" i="6"/>
  <c r="F84" i="6"/>
  <c r="E84" i="6"/>
  <c r="C84" i="6"/>
  <c r="F86" i="6"/>
  <c r="E86" i="6"/>
  <c r="C86" i="6"/>
  <c r="F85" i="6"/>
  <c r="E85" i="6"/>
  <c r="C85" i="6"/>
  <c r="F87" i="6"/>
  <c r="E87" i="6"/>
  <c r="C87" i="6"/>
  <c r="F80" i="6"/>
  <c r="E80" i="6"/>
  <c r="D80" i="6"/>
  <c r="C80" i="6"/>
  <c r="F79" i="6"/>
  <c r="E79" i="6"/>
  <c r="D79" i="6"/>
  <c r="C79" i="6"/>
  <c r="F82" i="6"/>
  <c r="E82" i="6"/>
  <c r="C82" i="6"/>
  <c r="F90" i="6"/>
  <c r="E90" i="6"/>
  <c r="C90" i="6"/>
  <c r="F76" i="6"/>
  <c r="E76" i="6"/>
  <c r="D76" i="6"/>
  <c r="C76" i="6"/>
  <c r="F75" i="6"/>
  <c r="E75" i="6"/>
  <c r="D75" i="6"/>
  <c r="C75" i="6"/>
  <c r="F72" i="6"/>
  <c r="E72" i="6"/>
  <c r="D72" i="6"/>
  <c r="C72" i="6"/>
  <c r="F71" i="6"/>
  <c r="E71" i="6"/>
  <c r="D71" i="6"/>
  <c r="C71" i="6"/>
  <c r="F70" i="6"/>
  <c r="E70" i="6"/>
  <c r="C70" i="6"/>
  <c r="F69" i="6"/>
  <c r="E69" i="6"/>
  <c r="D69" i="6"/>
  <c r="C69" i="6"/>
  <c r="F67" i="6"/>
  <c r="E67" i="6"/>
  <c r="D67" i="6"/>
  <c r="C67" i="6"/>
  <c r="F66" i="6"/>
  <c r="E66" i="6"/>
  <c r="C66" i="6"/>
  <c r="F65" i="6"/>
  <c r="E65" i="6"/>
  <c r="C65" i="6"/>
  <c r="F64" i="6"/>
  <c r="E64" i="6"/>
  <c r="C64" i="6"/>
  <c r="F58" i="6"/>
  <c r="E58" i="6"/>
  <c r="D58" i="6"/>
  <c r="C58" i="6"/>
  <c r="F57" i="6"/>
  <c r="E57" i="6"/>
  <c r="C57" i="6"/>
  <c r="F53" i="6"/>
  <c r="E53" i="6"/>
  <c r="C53" i="6"/>
  <c r="F52" i="6"/>
  <c r="E52" i="6"/>
  <c r="C52" i="6"/>
  <c r="F51" i="6"/>
  <c r="E51" i="6"/>
  <c r="C51" i="6"/>
  <c r="F47" i="6"/>
  <c r="E47" i="6"/>
  <c r="C47" i="6"/>
  <c r="F46" i="6"/>
  <c r="E46" i="6"/>
  <c r="C46" i="6"/>
  <c r="F45" i="6"/>
  <c r="E45" i="6"/>
  <c r="C45" i="6"/>
  <c r="F44" i="6"/>
  <c r="E44" i="6"/>
  <c r="C44" i="6"/>
  <c r="F43" i="6"/>
  <c r="E43" i="6"/>
  <c r="C43" i="6"/>
  <c r="F42" i="6"/>
  <c r="E42" i="6"/>
  <c r="D42" i="6"/>
  <c r="C42" i="6"/>
  <c r="F41" i="6"/>
  <c r="E41" i="6"/>
  <c r="C41" i="6"/>
  <c r="F40" i="6"/>
  <c r="E40" i="6"/>
  <c r="C40" i="6"/>
  <c r="F39" i="6"/>
  <c r="E39" i="6"/>
  <c r="C39" i="6"/>
  <c r="F38" i="6"/>
  <c r="E38" i="6"/>
  <c r="C38" i="6"/>
  <c r="F37" i="6"/>
  <c r="E37" i="6"/>
  <c r="C37" i="6"/>
  <c r="F36" i="6"/>
  <c r="E36" i="6"/>
  <c r="C36" i="6"/>
  <c r="F35" i="6"/>
  <c r="E35" i="6"/>
  <c r="F34" i="6"/>
  <c r="E34" i="6"/>
  <c r="F33" i="6"/>
  <c r="E33" i="6"/>
  <c r="F32" i="6"/>
  <c r="E32" i="6"/>
  <c r="C32" i="6"/>
  <c r="F31" i="6"/>
  <c r="E31" i="6"/>
  <c r="C31" i="6"/>
  <c r="F30" i="6"/>
  <c r="E30" i="6"/>
  <c r="C30" i="6"/>
  <c r="F29" i="6"/>
  <c r="E29" i="6"/>
  <c r="C29" i="6"/>
  <c r="F28" i="6"/>
  <c r="E28" i="6"/>
  <c r="F27" i="6"/>
  <c r="E27" i="6"/>
  <c r="C27" i="6"/>
  <c r="F26" i="6"/>
  <c r="F25" i="6"/>
  <c r="E25" i="6"/>
  <c r="C25" i="6"/>
  <c r="F24" i="6"/>
  <c r="E24" i="6"/>
  <c r="F23" i="6"/>
  <c r="E23" i="6"/>
  <c r="C23" i="6"/>
  <c r="F22" i="6"/>
  <c r="E22" i="6"/>
  <c r="F21" i="6"/>
  <c r="E21" i="6"/>
  <c r="F20" i="6"/>
  <c r="E20" i="6"/>
  <c r="C20" i="6"/>
  <c r="F19" i="6"/>
  <c r="E19" i="6"/>
  <c r="F18" i="6"/>
  <c r="E18" i="6"/>
  <c r="E17" i="6"/>
  <c r="F16" i="6"/>
  <c r="E16" i="6"/>
  <c r="F9" i="6"/>
  <c r="E9" i="6"/>
  <c r="D9" i="6"/>
  <c r="C9" i="6"/>
  <c r="F8" i="6"/>
  <c r="E8" i="6"/>
  <c r="F162" i="7"/>
  <c r="E162" i="7"/>
  <c r="D162" i="7"/>
  <c r="C162" i="7"/>
  <c r="F161" i="7"/>
  <c r="E161" i="7"/>
  <c r="D161" i="7"/>
  <c r="C161" i="7"/>
  <c r="F160" i="7"/>
  <c r="E160" i="7"/>
  <c r="D160" i="7"/>
  <c r="C160" i="7"/>
  <c r="F159" i="7"/>
  <c r="E159" i="7"/>
  <c r="D159" i="7"/>
  <c r="C159" i="7"/>
  <c r="F158" i="7"/>
  <c r="E158" i="7"/>
  <c r="D158" i="7"/>
  <c r="C158" i="7"/>
  <c r="F156" i="7"/>
  <c r="E156" i="7"/>
  <c r="D156" i="7"/>
  <c r="C156" i="7"/>
  <c r="F154" i="7"/>
  <c r="E154" i="7"/>
  <c r="D154" i="7"/>
  <c r="C154" i="7"/>
  <c r="F153" i="7"/>
  <c r="E153" i="7"/>
  <c r="D153" i="7"/>
  <c r="C153" i="7"/>
  <c r="F151" i="7"/>
  <c r="E151" i="7"/>
  <c r="D151" i="7"/>
  <c r="C151" i="7"/>
  <c r="F150" i="7"/>
  <c r="E150" i="7"/>
  <c r="D150" i="7"/>
  <c r="C150" i="7"/>
  <c r="F165" i="7"/>
  <c r="E165" i="7"/>
  <c r="D165" i="7"/>
  <c r="C165" i="7"/>
  <c r="F164" i="7"/>
  <c r="E164" i="7"/>
  <c r="D164" i="7"/>
  <c r="C164" i="7"/>
  <c r="F148" i="7"/>
  <c r="E148" i="7"/>
  <c r="D148" i="7"/>
  <c r="C148" i="7"/>
  <c r="F147" i="7"/>
  <c r="E147" i="7"/>
  <c r="D147" i="7"/>
  <c r="C147" i="7"/>
  <c r="F146" i="7"/>
  <c r="E146" i="7"/>
  <c r="D146" i="7"/>
  <c r="C146" i="7"/>
  <c r="F145" i="7"/>
  <c r="E145" i="7"/>
  <c r="D145" i="7"/>
  <c r="C145" i="7"/>
  <c r="F142" i="7"/>
  <c r="E142" i="7"/>
  <c r="D142" i="7"/>
  <c r="C142" i="7"/>
  <c r="F149" i="7"/>
  <c r="E149" i="7"/>
  <c r="D149" i="7"/>
  <c r="C149" i="7"/>
  <c r="F141" i="7"/>
  <c r="E141" i="7"/>
  <c r="D141" i="7"/>
  <c r="C141" i="7"/>
  <c r="F140" i="7"/>
  <c r="E140" i="7"/>
  <c r="D140" i="7"/>
  <c r="C140" i="7"/>
  <c r="F139" i="7"/>
  <c r="E139" i="7"/>
  <c r="D139" i="7"/>
  <c r="C139" i="7"/>
  <c r="D138" i="7"/>
  <c r="C138" i="7"/>
  <c r="F137" i="7"/>
  <c r="E137" i="7"/>
  <c r="D137" i="7"/>
  <c r="C137" i="7"/>
  <c r="F136" i="7"/>
  <c r="E136" i="7"/>
  <c r="D136" i="7"/>
  <c r="C136" i="7"/>
  <c r="F135" i="7"/>
  <c r="E135" i="7"/>
  <c r="D135" i="7"/>
  <c r="C135" i="7"/>
  <c r="F132" i="7"/>
  <c r="E132" i="7"/>
  <c r="D132" i="7"/>
  <c r="C132" i="7"/>
  <c r="F121" i="7"/>
  <c r="E121" i="7"/>
  <c r="D121" i="7"/>
  <c r="C121" i="7"/>
  <c r="F119" i="7"/>
  <c r="E119" i="7"/>
  <c r="D119" i="7"/>
  <c r="C119" i="7"/>
  <c r="F120" i="7"/>
  <c r="E120" i="7"/>
  <c r="D120" i="7"/>
  <c r="C120" i="7"/>
  <c r="F122" i="7"/>
  <c r="E122" i="7"/>
  <c r="D122" i="7"/>
  <c r="C122" i="7"/>
  <c r="F125" i="7"/>
  <c r="E125" i="7"/>
  <c r="D125" i="7"/>
  <c r="C125" i="7"/>
  <c r="F123" i="7"/>
  <c r="E123" i="7"/>
  <c r="D123" i="7"/>
  <c r="C123" i="7"/>
  <c r="F118" i="7"/>
  <c r="E118" i="7"/>
  <c r="D118" i="7"/>
  <c r="C118" i="7"/>
  <c r="F117" i="7"/>
  <c r="E117" i="7"/>
  <c r="D117" i="7"/>
  <c r="C117" i="7"/>
  <c r="F131" i="7"/>
  <c r="E131" i="7"/>
  <c r="D131" i="7"/>
  <c r="C131" i="7"/>
  <c r="F130" i="7"/>
  <c r="E130" i="7"/>
  <c r="D130" i="7"/>
  <c r="C130" i="7"/>
  <c r="F129" i="7"/>
  <c r="E129" i="7"/>
  <c r="D129" i="7"/>
  <c r="C129" i="7"/>
  <c r="F103" i="7"/>
  <c r="E103" i="7"/>
  <c r="D103" i="7"/>
  <c r="C103" i="7"/>
  <c r="F102" i="7"/>
  <c r="E102" i="7"/>
  <c r="D102" i="7"/>
  <c r="F100" i="7"/>
  <c r="E100" i="7"/>
  <c r="D100" i="7"/>
  <c r="C100" i="7"/>
  <c r="F99" i="7"/>
  <c r="E99" i="7"/>
  <c r="D99" i="7"/>
  <c r="C99" i="7"/>
  <c r="F98" i="7"/>
  <c r="E98" i="7"/>
  <c r="D98" i="7"/>
  <c r="C98" i="7"/>
  <c r="F97" i="7"/>
  <c r="E97" i="7"/>
  <c r="D97" i="7"/>
  <c r="C97" i="7"/>
  <c r="F114" i="7"/>
  <c r="E114" i="7"/>
  <c r="D114" i="7"/>
  <c r="C114" i="7"/>
  <c r="F113" i="7"/>
  <c r="E113" i="7"/>
  <c r="D113" i="7"/>
  <c r="C113" i="7"/>
  <c r="F112" i="7"/>
  <c r="E112" i="7"/>
  <c r="D112" i="7"/>
  <c r="C112" i="7"/>
  <c r="F110" i="7"/>
  <c r="E110" i="7"/>
  <c r="D110" i="7"/>
  <c r="C110" i="7"/>
  <c r="F124" i="7"/>
  <c r="E124" i="7"/>
  <c r="D124" i="7"/>
  <c r="C124" i="7"/>
  <c r="F111" i="7"/>
  <c r="E111" i="7"/>
  <c r="D111" i="7"/>
  <c r="C111" i="7"/>
  <c r="F96" i="7"/>
  <c r="E96" i="7"/>
  <c r="D96" i="7"/>
  <c r="C96" i="7"/>
  <c r="F104" i="7"/>
  <c r="E104" i="7"/>
  <c r="D104" i="7"/>
  <c r="F109" i="7"/>
  <c r="E109" i="7"/>
  <c r="D109" i="7"/>
  <c r="C109" i="7"/>
  <c r="F108" i="7"/>
  <c r="E108" i="7"/>
  <c r="D108" i="7"/>
  <c r="C108" i="7"/>
  <c r="F107" i="7"/>
  <c r="E107" i="7"/>
  <c r="D107" i="7"/>
  <c r="C107" i="7"/>
  <c r="F95" i="7"/>
  <c r="E95" i="7"/>
  <c r="D95" i="7"/>
  <c r="C95" i="7"/>
  <c r="F106" i="7"/>
  <c r="E106" i="7"/>
  <c r="D106" i="7"/>
  <c r="C106" i="7"/>
  <c r="F105" i="7"/>
  <c r="E105" i="7"/>
  <c r="D105" i="7"/>
  <c r="C105" i="7"/>
  <c r="F94" i="7"/>
  <c r="E94" i="7"/>
  <c r="D94" i="7"/>
  <c r="C94" i="7"/>
  <c r="F91" i="7"/>
  <c r="E91" i="7"/>
  <c r="D91" i="7"/>
  <c r="C91" i="7"/>
  <c r="F88" i="7"/>
  <c r="E88" i="7"/>
  <c r="D88" i="7"/>
  <c r="C88" i="7"/>
  <c r="F89" i="7"/>
  <c r="E89" i="7"/>
  <c r="D89" i="7"/>
  <c r="C89" i="7"/>
  <c r="F84" i="7"/>
  <c r="E84" i="7"/>
  <c r="D84" i="7"/>
  <c r="C84" i="7"/>
  <c r="F86" i="7"/>
  <c r="E86" i="7"/>
  <c r="D86" i="7"/>
  <c r="C86" i="7"/>
  <c r="F85" i="7"/>
  <c r="E85" i="7"/>
  <c r="D85" i="7"/>
  <c r="C85" i="7"/>
  <c r="F87" i="7"/>
  <c r="E87" i="7"/>
  <c r="D87" i="7"/>
  <c r="C87" i="7"/>
  <c r="F80" i="7"/>
  <c r="E80" i="7"/>
  <c r="D80" i="7"/>
  <c r="C80" i="7"/>
  <c r="F79" i="7"/>
  <c r="E79" i="7"/>
  <c r="D79" i="7"/>
  <c r="C79" i="7"/>
  <c r="F82" i="7"/>
  <c r="E82" i="7"/>
  <c r="D82" i="7"/>
  <c r="C82" i="7"/>
  <c r="F90" i="7"/>
  <c r="E90" i="7"/>
  <c r="D90" i="7"/>
  <c r="C90" i="7"/>
  <c r="F83" i="7"/>
  <c r="E83" i="7"/>
  <c r="D83" i="7"/>
  <c r="C83" i="7"/>
  <c r="F76" i="7"/>
  <c r="E76" i="7"/>
  <c r="D76" i="7"/>
  <c r="C76" i="7"/>
  <c r="F75" i="7"/>
  <c r="E75" i="7"/>
  <c r="D75" i="7"/>
  <c r="C75" i="7"/>
  <c r="F72" i="7"/>
  <c r="E72" i="7"/>
  <c r="D72" i="7"/>
  <c r="C72" i="7"/>
  <c r="F71" i="7"/>
  <c r="E71" i="7"/>
  <c r="D71" i="7"/>
  <c r="C71" i="7"/>
  <c r="F70" i="7"/>
  <c r="E70" i="7"/>
  <c r="D70" i="7"/>
  <c r="C70" i="7"/>
  <c r="F69" i="7"/>
  <c r="E69" i="7"/>
  <c r="D69" i="7"/>
  <c r="C69" i="7"/>
  <c r="F68" i="7"/>
  <c r="E68" i="7"/>
  <c r="D68" i="7"/>
  <c r="C68" i="7"/>
  <c r="F67" i="7"/>
  <c r="E67" i="7"/>
  <c r="D67" i="7"/>
  <c r="C67" i="7"/>
  <c r="F66" i="7"/>
  <c r="E66" i="7"/>
  <c r="D66" i="7"/>
  <c r="C66" i="7"/>
  <c r="F65" i="7"/>
  <c r="E65" i="7"/>
  <c r="D65" i="7"/>
  <c r="C65" i="7"/>
  <c r="F64" i="7"/>
  <c r="E64" i="7"/>
  <c r="D64" i="7"/>
  <c r="C64" i="7"/>
  <c r="F63" i="7"/>
  <c r="E63" i="7"/>
  <c r="D63" i="7"/>
  <c r="C63" i="7"/>
  <c r="F62" i="7"/>
  <c r="E62" i="7"/>
  <c r="C62" i="7"/>
  <c r="C58" i="7"/>
  <c r="F57" i="7"/>
  <c r="E57" i="7"/>
  <c r="D57" i="7"/>
  <c r="C57" i="7"/>
  <c r="F53" i="7"/>
  <c r="E53" i="7"/>
  <c r="D53" i="7"/>
  <c r="C53" i="7"/>
  <c r="F52" i="7"/>
  <c r="E52" i="7"/>
  <c r="D52" i="7"/>
  <c r="C52" i="7"/>
  <c r="F51" i="7"/>
  <c r="E51" i="7"/>
  <c r="D51" i="7"/>
  <c r="C51" i="7"/>
  <c r="F50" i="7"/>
  <c r="E50" i="7"/>
  <c r="D50" i="7"/>
  <c r="C50" i="7"/>
  <c r="F47" i="7"/>
  <c r="E47" i="7"/>
  <c r="D47" i="7"/>
  <c r="C47" i="7"/>
  <c r="F46" i="7"/>
  <c r="E46" i="7"/>
  <c r="D46" i="7"/>
  <c r="C46" i="7"/>
  <c r="F45" i="7"/>
  <c r="E45" i="7"/>
  <c r="D45" i="7"/>
  <c r="C45" i="7"/>
  <c r="F44" i="7"/>
  <c r="E44" i="7"/>
  <c r="D44" i="7"/>
  <c r="C44" i="7"/>
  <c r="F43" i="7"/>
  <c r="E43" i="7"/>
  <c r="D43" i="7"/>
  <c r="C43" i="7"/>
  <c r="F42" i="7"/>
  <c r="E42" i="7"/>
  <c r="D42" i="7"/>
  <c r="C42" i="7"/>
  <c r="F41" i="7"/>
  <c r="E41" i="7"/>
  <c r="D41" i="7"/>
  <c r="C41" i="7"/>
  <c r="F40" i="7"/>
  <c r="E40" i="7"/>
  <c r="D40" i="7"/>
  <c r="C40" i="7"/>
  <c r="F39" i="7"/>
  <c r="E39" i="7"/>
  <c r="D39" i="7"/>
  <c r="C39" i="7"/>
  <c r="F38" i="7"/>
  <c r="E38" i="7"/>
  <c r="D38" i="7"/>
  <c r="C38" i="7"/>
  <c r="F37" i="7"/>
  <c r="E37" i="7"/>
  <c r="D37" i="7"/>
  <c r="C37" i="7"/>
  <c r="F36" i="7"/>
  <c r="E36" i="7"/>
  <c r="D36" i="7"/>
  <c r="C36" i="7"/>
  <c r="F35" i="7"/>
  <c r="E35" i="7"/>
  <c r="D35" i="7"/>
  <c r="C35" i="7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D27" i="7"/>
  <c r="C27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F18" i="7"/>
  <c r="E18" i="7"/>
  <c r="F17" i="7"/>
  <c r="E17" i="7"/>
  <c r="F16" i="7"/>
  <c r="E16" i="7"/>
  <c r="D16" i="7"/>
  <c r="C16" i="7"/>
  <c r="F14" i="7"/>
  <c r="E14" i="7"/>
  <c r="F9" i="7"/>
  <c r="E9" i="7"/>
  <c r="D9" i="7"/>
  <c r="C9" i="7"/>
  <c r="F8" i="7"/>
  <c r="E8" i="7"/>
  <c r="D8" i="7"/>
  <c r="C8" i="7"/>
  <c r="D7" i="7"/>
  <c r="F162" i="8"/>
  <c r="E162" i="8"/>
  <c r="D162" i="8"/>
  <c r="C162" i="8"/>
  <c r="F161" i="8"/>
  <c r="E161" i="8"/>
  <c r="D161" i="8"/>
  <c r="C161" i="8"/>
  <c r="F160" i="8"/>
  <c r="E160" i="8"/>
  <c r="D160" i="8"/>
  <c r="C160" i="8"/>
  <c r="F159" i="8"/>
  <c r="E159" i="8"/>
  <c r="D159" i="8"/>
  <c r="C159" i="8"/>
  <c r="F158" i="8"/>
  <c r="E158" i="8"/>
  <c r="D158" i="8"/>
  <c r="C158" i="8"/>
  <c r="F156" i="8"/>
  <c r="E156" i="8"/>
  <c r="D156" i="8"/>
  <c r="C156" i="8"/>
  <c r="F154" i="8"/>
  <c r="E154" i="8"/>
  <c r="D154" i="8"/>
  <c r="C154" i="8"/>
  <c r="F153" i="8"/>
  <c r="E153" i="8"/>
  <c r="D153" i="8"/>
  <c r="C153" i="8"/>
  <c r="F151" i="8"/>
  <c r="E151" i="8"/>
  <c r="D151" i="8"/>
  <c r="C151" i="8"/>
  <c r="F150" i="8"/>
  <c r="E150" i="8"/>
  <c r="D150" i="8"/>
  <c r="C150" i="8"/>
  <c r="F165" i="8"/>
  <c r="E165" i="8"/>
  <c r="D165" i="8"/>
  <c r="C165" i="8"/>
  <c r="F164" i="8"/>
  <c r="E164" i="8"/>
  <c r="D164" i="8"/>
  <c r="C164" i="8"/>
  <c r="F148" i="8"/>
  <c r="E148" i="8"/>
  <c r="D148" i="8"/>
  <c r="C148" i="8"/>
  <c r="F147" i="8"/>
  <c r="E147" i="8"/>
  <c r="D147" i="8"/>
  <c r="C147" i="8"/>
  <c r="F146" i="8"/>
  <c r="E146" i="8"/>
  <c r="D146" i="8"/>
  <c r="C146" i="8"/>
  <c r="F145" i="8"/>
  <c r="E145" i="8"/>
  <c r="D145" i="8"/>
  <c r="C145" i="8"/>
  <c r="F142" i="8"/>
  <c r="E142" i="8"/>
  <c r="D142" i="8"/>
  <c r="C142" i="8"/>
  <c r="F149" i="8"/>
  <c r="E149" i="8"/>
  <c r="D149" i="8"/>
  <c r="C149" i="8"/>
  <c r="F141" i="8"/>
  <c r="E141" i="8"/>
  <c r="D141" i="8"/>
  <c r="C141" i="8"/>
  <c r="F140" i="8"/>
  <c r="E140" i="8"/>
  <c r="D140" i="8"/>
  <c r="C140" i="8"/>
  <c r="F139" i="8"/>
  <c r="E139" i="8"/>
  <c r="D139" i="8"/>
  <c r="C139" i="8"/>
  <c r="F138" i="8"/>
  <c r="E138" i="8"/>
  <c r="D138" i="8"/>
  <c r="F137" i="8"/>
  <c r="E137" i="8"/>
  <c r="D137" i="8"/>
  <c r="C137" i="8"/>
  <c r="F136" i="8"/>
  <c r="E136" i="8"/>
  <c r="D136" i="8"/>
  <c r="C136" i="8"/>
  <c r="F132" i="8"/>
  <c r="E132" i="8"/>
  <c r="D132" i="8"/>
  <c r="C132" i="8"/>
  <c r="F121" i="8"/>
  <c r="E121" i="8"/>
  <c r="D121" i="8"/>
  <c r="C121" i="8"/>
  <c r="F119" i="8"/>
  <c r="E119" i="8"/>
  <c r="D119" i="8"/>
  <c r="C119" i="8"/>
  <c r="F120" i="8"/>
  <c r="E120" i="8"/>
  <c r="D120" i="8"/>
  <c r="C120" i="8"/>
  <c r="F122" i="8"/>
  <c r="E122" i="8"/>
  <c r="D122" i="8"/>
  <c r="C122" i="8"/>
  <c r="F125" i="8"/>
  <c r="E125" i="8"/>
  <c r="D125" i="8"/>
  <c r="C125" i="8"/>
  <c r="F123" i="8"/>
  <c r="E123" i="8"/>
  <c r="D123" i="8"/>
  <c r="C123" i="8"/>
  <c r="F118" i="8"/>
  <c r="E118" i="8"/>
  <c r="D118" i="8"/>
  <c r="C118" i="8"/>
  <c r="F117" i="8"/>
  <c r="E117" i="8"/>
  <c r="D117" i="8"/>
  <c r="C117" i="8"/>
  <c r="F131" i="8"/>
  <c r="E131" i="8"/>
  <c r="D131" i="8"/>
  <c r="C131" i="8"/>
  <c r="F130" i="8"/>
  <c r="E130" i="8"/>
  <c r="D130" i="8"/>
  <c r="C130" i="8"/>
  <c r="F129" i="8"/>
  <c r="E129" i="8"/>
  <c r="D129" i="8"/>
  <c r="C129" i="8"/>
  <c r="F103" i="8"/>
  <c r="E103" i="8"/>
  <c r="D103" i="8"/>
  <c r="C103" i="8"/>
  <c r="F102" i="8"/>
  <c r="E102" i="8"/>
  <c r="D102" i="8"/>
  <c r="F100" i="8"/>
  <c r="E100" i="8"/>
  <c r="D100" i="8"/>
  <c r="C100" i="8"/>
  <c r="F99" i="8"/>
  <c r="E99" i="8"/>
  <c r="D99" i="8"/>
  <c r="C99" i="8"/>
  <c r="F98" i="8"/>
  <c r="E98" i="8"/>
  <c r="D98" i="8"/>
  <c r="C98" i="8"/>
  <c r="F97" i="8"/>
  <c r="E97" i="8"/>
  <c r="D97" i="8"/>
  <c r="C97" i="8"/>
  <c r="F114" i="8"/>
  <c r="E114" i="8"/>
  <c r="D114" i="8"/>
  <c r="C114" i="8"/>
  <c r="F113" i="8"/>
  <c r="E113" i="8"/>
  <c r="D113" i="8"/>
  <c r="C113" i="8"/>
  <c r="F112" i="8"/>
  <c r="E112" i="8"/>
  <c r="D112" i="8"/>
  <c r="C112" i="8"/>
  <c r="F110" i="8"/>
  <c r="E110" i="8"/>
  <c r="D110" i="8"/>
  <c r="C110" i="8"/>
  <c r="F124" i="8"/>
  <c r="E124" i="8"/>
  <c r="D124" i="8"/>
  <c r="C124" i="8"/>
  <c r="F111" i="8"/>
  <c r="E111" i="8"/>
  <c r="D111" i="8"/>
  <c r="C111" i="8"/>
  <c r="F96" i="8"/>
  <c r="E96" i="8"/>
  <c r="D96" i="8"/>
  <c r="C96" i="8"/>
  <c r="F104" i="8"/>
  <c r="E104" i="8"/>
  <c r="D104" i="8"/>
  <c r="F109" i="8"/>
  <c r="E109" i="8"/>
  <c r="D109" i="8"/>
  <c r="C109" i="8"/>
  <c r="F108" i="8"/>
  <c r="E108" i="8"/>
  <c r="D108" i="8"/>
  <c r="C108" i="8"/>
  <c r="F107" i="8"/>
  <c r="E107" i="8"/>
  <c r="D107" i="8"/>
  <c r="C107" i="8"/>
  <c r="F95" i="8"/>
  <c r="E95" i="8"/>
  <c r="D95" i="8"/>
  <c r="C95" i="8"/>
  <c r="F106" i="8"/>
  <c r="E106" i="8"/>
  <c r="D106" i="8"/>
  <c r="C106" i="8"/>
  <c r="F105" i="8"/>
  <c r="E105" i="8"/>
  <c r="D105" i="8"/>
  <c r="C105" i="8"/>
  <c r="F91" i="8"/>
  <c r="E91" i="8"/>
  <c r="D91" i="8"/>
  <c r="C91" i="8"/>
  <c r="F88" i="8"/>
  <c r="E88" i="8"/>
  <c r="D88" i="8"/>
  <c r="C88" i="8"/>
  <c r="F89" i="8"/>
  <c r="E89" i="8"/>
  <c r="D89" i="8"/>
  <c r="C89" i="8"/>
  <c r="F84" i="8"/>
  <c r="E84" i="8"/>
  <c r="D84" i="8"/>
  <c r="C84" i="8"/>
  <c r="F86" i="8"/>
  <c r="E86" i="8"/>
  <c r="D86" i="8"/>
  <c r="C86" i="8"/>
  <c r="F85" i="8"/>
  <c r="E85" i="8"/>
  <c r="D85" i="8"/>
  <c r="C85" i="8"/>
  <c r="F87" i="8"/>
  <c r="E87" i="8"/>
  <c r="D87" i="8"/>
  <c r="C87" i="8"/>
  <c r="F80" i="8"/>
  <c r="E80" i="8"/>
  <c r="D80" i="8"/>
  <c r="C80" i="8"/>
  <c r="F79" i="8"/>
  <c r="E79" i="8"/>
  <c r="D79" i="8"/>
  <c r="C79" i="8"/>
  <c r="F82" i="8"/>
  <c r="E82" i="8"/>
  <c r="D82" i="8"/>
  <c r="C82" i="8"/>
  <c r="F90" i="8"/>
  <c r="E90" i="8"/>
  <c r="D90" i="8"/>
  <c r="C90" i="8"/>
  <c r="F76" i="8"/>
  <c r="E76" i="8"/>
  <c r="D76" i="8"/>
  <c r="C76" i="8"/>
  <c r="F75" i="8"/>
  <c r="E75" i="8"/>
  <c r="D75" i="8"/>
  <c r="C75" i="8"/>
  <c r="F72" i="8"/>
  <c r="E72" i="8"/>
  <c r="D72" i="8"/>
  <c r="C72" i="8"/>
  <c r="F71" i="8"/>
  <c r="E71" i="8"/>
  <c r="D71" i="8"/>
  <c r="C71" i="8"/>
  <c r="F70" i="8"/>
  <c r="E70" i="8"/>
  <c r="D70" i="8"/>
  <c r="C70" i="8"/>
  <c r="F69" i="8"/>
  <c r="E69" i="8"/>
  <c r="D69" i="8"/>
  <c r="C69" i="8"/>
  <c r="F68" i="8"/>
  <c r="E68" i="8"/>
  <c r="D68" i="8"/>
  <c r="C68" i="8"/>
  <c r="F67" i="8"/>
  <c r="E67" i="8"/>
  <c r="D67" i="8"/>
  <c r="C67" i="8"/>
  <c r="F66" i="8"/>
  <c r="E66" i="8"/>
  <c r="D66" i="8"/>
  <c r="C66" i="8"/>
  <c r="F65" i="8"/>
  <c r="E65" i="8"/>
  <c r="D65" i="8"/>
  <c r="F64" i="8"/>
  <c r="E64" i="8"/>
  <c r="D64" i="8"/>
  <c r="C64" i="8"/>
  <c r="F63" i="8"/>
  <c r="E63" i="8"/>
  <c r="D63" i="8"/>
  <c r="C63" i="8"/>
  <c r="F58" i="8"/>
  <c r="E58" i="8"/>
  <c r="D58" i="8"/>
  <c r="C58" i="8"/>
  <c r="F57" i="8"/>
  <c r="E57" i="8"/>
  <c r="D57" i="8"/>
  <c r="C57" i="8"/>
  <c r="F53" i="8"/>
  <c r="E53" i="8"/>
  <c r="D53" i="8"/>
  <c r="C53" i="8"/>
  <c r="F52" i="8"/>
  <c r="E52" i="8"/>
  <c r="D52" i="8"/>
  <c r="C52" i="8"/>
  <c r="F51" i="8"/>
  <c r="E51" i="8"/>
  <c r="D51" i="8"/>
  <c r="C51" i="8"/>
  <c r="F162" i="9"/>
  <c r="E162" i="9"/>
  <c r="D162" i="9"/>
  <c r="C162" i="9"/>
  <c r="F161" i="9"/>
  <c r="E161" i="9"/>
  <c r="F160" i="9"/>
  <c r="E160" i="9"/>
  <c r="D160" i="9"/>
  <c r="C160" i="9"/>
  <c r="F159" i="9"/>
  <c r="E159" i="9"/>
  <c r="D159" i="9"/>
  <c r="C159" i="9"/>
  <c r="F158" i="9"/>
  <c r="E158" i="9"/>
  <c r="D158" i="9"/>
  <c r="C158" i="9"/>
  <c r="F156" i="9"/>
  <c r="E156" i="9"/>
  <c r="D156" i="9"/>
  <c r="C156" i="9"/>
  <c r="F154" i="9"/>
  <c r="E154" i="9"/>
  <c r="D154" i="9"/>
  <c r="C154" i="9"/>
  <c r="F153" i="9"/>
  <c r="E153" i="9"/>
  <c r="D153" i="9"/>
  <c r="C153" i="9"/>
  <c r="F151" i="9"/>
  <c r="E151" i="9"/>
  <c r="D151" i="9"/>
  <c r="C151" i="9"/>
  <c r="F150" i="9"/>
  <c r="E150" i="9"/>
  <c r="D150" i="9"/>
  <c r="C150" i="9"/>
  <c r="F165" i="9"/>
  <c r="E165" i="9"/>
  <c r="D165" i="9"/>
  <c r="C165" i="9"/>
  <c r="F164" i="9"/>
  <c r="E164" i="9"/>
  <c r="F148" i="9"/>
  <c r="E148" i="9"/>
  <c r="D148" i="9"/>
  <c r="C148" i="9"/>
  <c r="F147" i="9"/>
  <c r="E147" i="9"/>
  <c r="D147" i="9"/>
  <c r="C147" i="9"/>
  <c r="F146" i="9"/>
  <c r="E146" i="9"/>
  <c r="F145" i="9"/>
  <c r="E145" i="9"/>
  <c r="D145" i="9"/>
  <c r="C145" i="9"/>
  <c r="F142" i="9"/>
  <c r="E142" i="9"/>
  <c r="D142" i="9"/>
  <c r="C142" i="9"/>
  <c r="F149" i="9"/>
  <c r="E149" i="9"/>
  <c r="D149" i="9"/>
  <c r="C149" i="9"/>
  <c r="F141" i="9"/>
  <c r="E141" i="9"/>
  <c r="F140" i="9"/>
  <c r="E140" i="9"/>
  <c r="F139" i="9"/>
  <c r="E139" i="9"/>
  <c r="F138" i="9"/>
  <c r="E138" i="9"/>
  <c r="D138" i="9"/>
  <c r="C138" i="9"/>
  <c r="F137" i="9"/>
  <c r="E137" i="9"/>
  <c r="F136" i="9"/>
  <c r="E136" i="9"/>
  <c r="F135" i="9"/>
  <c r="E135" i="9"/>
  <c r="F132" i="9"/>
  <c r="E132" i="9"/>
  <c r="F121" i="9"/>
  <c r="E121" i="9"/>
  <c r="D121" i="9"/>
  <c r="C121" i="9"/>
  <c r="F119" i="9"/>
  <c r="E119" i="9"/>
  <c r="D119" i="9"/>
  <c r="C119" i="9"/>
  <c r="F120" i="9"/>
  <c r="E120" i="9"/>
  <c r="D120" i="9"/>
  <c r="C120" i="9"/>
  <c r="F122" i="9"/>
  <c r="E122" i="9"/>
  <c r="D122" i="9"/>
  <c r="C122" i="9"/>
  <c r="F125" i="9"/>
  <c r="E125" i="9"/>
  <c r="D125" i="9"/>
  <c r="C125" i="9"/>
  <c r="F123" i="9"/>
  <c r="E123" i="9"/>
  <c r="F118" i="9"/>
  <c r="E118" i="9"/>
  <c r="D118" i="9"/>
  <c r="C118" i="9"/>
  <c r="F117" i="9"/>
  <c r="E117" i="9"/>
  <c r="D117" i="9"/>
  <c r="C117" i="9"/>
  <c r="F131" i="9"/>
  <c r="E131" i="9"/>
  <c r="F130" i="9"/>
  <c r="E130" i="9"/>
  <c r="D130" i="9"/>
  <c r="C130" i="9"/>
  <c r="F129" i="9"/>
  <c r="E129" i="9"/>
  <c r="D129" i="9"/>
  <c r="C129" i="9"/>
  <c r="F103" i="9"/>
  <c r="E103" i="9"/>
  <c r="F102" i="9"/>
  <c r="E102" i="9"/>
  <c r="D102" i="9"/>
  <c r="F100" i="9"/>
  <c r="E100" i="9"/>
  <c r="F99" i="9"/>
  <c r="E99" i="9"/>
  <c r="F98" i="9"/>
  <c r="E98" i="9"/>
  <c r="D98" i="9"/>
  <c r="C98" i="9"/>
  <c r="F97" i="9"/>
  <c r="E97" i="9"/>
  <c r="F114" i="9"/>
  <c r="E114" i="9"/>
  <c r="D114" i="9"/>
  <c r="C114" i="9"/>
  <c r="F113" i="9"/>
  <c r="E113" i="9"/>
  <c r="D113" i="9"/>
  <c r="C113" i="9"/>
  <c r="F112" i="9"/>
  <c r="E112" i="9"/>
  <c r="D112" i="9"/>
  <c r="C112" i="9"/>
  <c r="F110" i="9"/>
  <c r="E110" i="9"/>
  <c r="D110" i="9"/>
  <c r="C110" i="9"/>
  <c r="F124" i="9"/>
  <c r="E124" i="9"/>
  <c r="D124" i="9"/>
  <c r="C124" i="9"/>
  <c r="F111" i="9"/>
  <c r="E111" i="9"/>
  <c r="F96" i="9"/>
  <c r="E96" i="9"/>
  <c r="D96" i="9"/>
  <c r="C96" i="9"/>
  <c r="F104" i="9"/>
  <c r="E104" i="9"/>
  <c r="F109" i="9"/>
  <c r="E109" i="9"/>
  <c r="D109" i="9"/>
  <c r="C109" i="9"/>
  <c r="F108" i="9"/>
  <c r="E108" i="9"/>
  <c r="D108" i="9"/>
  <c r="C108" i="9"/>
  <c r="F107" i="9"/>
  <c r="E107" i="9"/>
  <c r="D107" i="9"/>
  <c r="C107" i="9"/>
  <c r="F95" i="9"/>
  <c r="E95" i="9"/>
  <c r="D95" i="9"/>
  <c r="C95" i="9"/>
  <c r="F106" i="9"/>
  <c r="E106" i="9"/>
  <c r="D106" i="9"/>
  <c r="C106" i="9"/>
  <c r="F105" i="9"/>
  <c r="E105" i="9"/>
  <c r="D105" i="9"/>
  <c r="C105" i="9"/>
  <c r="F94" i="9"/>
  <c r="E94" i="9"/>
  <c r="F91" i="9"/>
  <c r="E91" i="9"/>
  <c r="F88" i="9"/>
  <c r="E88" i="9"/>
  <c r="D88" i="9"/>
  <c r="C88" i="9"/>
  <c r="F89" i="9"/>
  <c r="E89" i="9"/>
  <c r="D89" i="9"/>
  <c r="C89" i="9"/>
  <c r="F84" i="9"/>
  <c r="E84" i="9"/>
  <c r="D84" i="9"/>
  <c r="C84" i="9"/>
  <c r="F86" i="9"/>
  <c r="E86" i="9"/>
  <c r="F85" i="9"/>
  <c r="E85" i="9"/>
  <c r="D85" i="9"/>
  <c r="C85" i="9"/>
  <c r="F87" i="9"/>
  <c r="E87" i="9"/>
  <c r="D87" i="9"/>
  <c r="C87" i="9"/>
  <c r="F80" i="9"/>
  <c r="E80" i="9"/>
  <c r="D80" i="9"/>
  <c r="C80" i="9"/>
  <c r="F79" i="9"/>
  <c r="E79" i="9"/>
  <c r="D79" i="9"/>
  <c r="C79" i="9"/>
  <c r="F82" i="9"/>
  <c r="E82" i="9"/>
  <c r="D82" i="9"/>
  <c r="C82" i="9"/>
  <c r="F90" i="9"/>
  <c r="E90" i="9"/>
  <c r="F83" i="9"/>
  <c r="E83" i="9"/>
  <c r="F76" i="9"/>
  <c r="E76" i="9"/>
  <c r="D76" i="9"/>
  <c r="C76" i="9"/>
  <c r="F75" i="9"/>
  <c r="E75" i="9"/>
  <c r="D75" i="9"/>
  <c r="C75" i="9"/>
  <c r="F72" i="9"/>
  <c r="E72" i="9"/>
  <c r="D72" i="9"/>
  <c r="C72" i="9"/>
  <c r="F71" i="9"/>
  <c r="E71" i="9"/>
  <c r="D71" i="9"/>
  <c r="C71" i="9"/>
  <c r="F70" i="9"/>
  <c r="E70" i="9"/>
  <c r="F69" i="9"/>
  <c r="E69" i="9"/>
  <c r="D69" i="9"/>
  <c r="C69" i="9"/>
  <c r="F68" i="9"/>
  <c r="E68" i="9"/>
  <c r="D68" i="9"/>
  <c r="C68" i="9"/>
  <c r="F67" i="9"/>
  <c r="E67" i="9"/>
  <c r="D67" i="9"/>
  <c r="C67" i="9"/>
  <c r="F66" i="9"/>
  <c r="E66" i="9"/>
  <c r="F65" i="9"/>
  <c r="E65" i="9"/>
  <c r="D65" i="9"/>
  <c r="C65" i="9"/>
  <c r="F64" i="9"/>
  <c r="E64" i="9"/>
  <c r="D64" i="9"/>
  <c r="C64" i="9"/>
  <c r="F63" i="9"/>
  <c r="E63" i="9"/>
  <c r="D63" i="9"/>
  <c r="C63" i="9"/>
  <c r="F62" i="9"/>
  <c r="E62" i="9"/>
  <c r="D62" i="9"/>
  <c r="C62" i="9"/>
  <c r="C58" i="9"/>
  <c r="F57" i="9"/>
  <c r="E57" i="9"/>
  <c r="F53" i="9"/>
  <c r="E53" i="9"/>
  <c r="F52" i="9"/>
  <c r="E52" i="9"/>
  <c r="F51" i="9"/>
  <c r="E51" i="9"/>
  <c r="F50" i="9"/>
  <c r="E50" i="9"/>
  <c r="F47" i="9"/>
  <c r="E47" i="9"/>
  <c r="F46" i="9"/>
  <c r="E46" i="9"/>
  <c r="D46" i="9"/>
  <c r="C46" i="9"/>
  <c r="F45" i="9"/>
  <c r="E45" i="9"/>
  <c r="F44" i="9"/>
  <c r="E44" i="9"/>
  <c r="F43" i="9"/>
  <c r="E43" i="9"/>
  <c r="D43" i="9"/>
  <c r="C43" i="9"/>
  <c r="F42" i="9"/>
  <c r="E42" i="9"/>
  <c r="D42" i="9"/>
  <c r="C42" i="9"/>
  <c r="F41" i="9"/>
  <c r="E41" i="9"/>
  <c r="D41" i="9"/>
  <c r="C41" i="9"/>
  <c r="F40" i="9"/>
  <c r="E40" i="9"/>
  <c r="D40" i="9"/>
  <c r="C40" i="9"/>
  <c r="F39" i="9"/>
  <c r="E39" i="9"/>
  <c r="F38" i="9"/>
  <c r="E38" i="9"/>
  <c r="F37" i="9"/>
  <c r="E37" i="9"/>
  <c r="F36" i="9"/>
  <c r="E36" i="9"/>
  <c r="D36" i="9"/>
  <c r="C36" i="9"/>
  <c r="F35" i="9"/>
  <c r="E35" i="9"/>
  <c r="D35" i="9"/>
  <c r="C35" i="9"/>
  <c r="F34" i="9"/>
  <c r="E34" i="9"/>
  <c r="D34" i="9"/>
  <c r="C34" i="9"/>
  <c r="F33" i="9"/>
  <c r="E33" i="9"/>
  <c r="D33" i="9"/>
  <c r="C33" i="9"/>
  <c r="F32" i="9"/>
  <c r="E32" i="9"/>
  <c r="D32" i="9"/>
  <c r="C32" i="9"/>
  <c r="F31" i="9"/>
  <c r="E31" i="9"/>
  <c r="D31" i="9"/>
  <c r="C31" i="9"/>
  <c r="F30" i="9"/>
  <c r="E30" i="9"/>
  <c r="D30" i="9"/>
  <c r="C30" i="9"/>
  <c r="F29" i="9"/>
  <c r="E29" i="9"/>
  <c r="F28" i="9"/>
  <c r="E28" i="9"/>
  <c r="F27" i="9"/>
  <c r="E27" i="9"/>
  <c r="F26" i="9"/>
  <c r="E26" i="9"/>
  <c r="F25" i="9"/>
  <c r="E25" i="9"/>
  <c r="D25" i="9"/>
  <c r="C25" i="9"/>
  <c r="F24" i="9"/>
  <c r="E24" i="9"/>
  <c r="F23" i="9"/>
  <c r="E23" i="9"/>
  <c r="F22" i="9"/>
  <c r="E22" i="9"/>
  <c r="F21" i="9"/>
  <c r="E21" i="9"/>
  <c r="F20" i="9"/>
  <c r="E20" i="9"/>
  <c r="D20" i="9"/>
  <c r="C20" i="9"/>
  <c r="F19" i="9"/>
  <c r="E19" i="9"/>
  <c r="D19" i="9"/>
  <c r="C19" i="9"/>
  <c r="F18" i="9"/>
  <c r="E18" i="9"/>
  <c r="D18" i="9"/>
  <c r="F16" i="9"/>
  <c r="E16" i="9"/>
  <c r="F15" i="9"/>
  <c r="C15" i="9"/>
  <c r="F9" i="9"/>
  <c r="E9" i="9"/>
  <c r="D9" i="9"/>
  <c r="C9" i="9"/>
  <c r="F8" i="9"/>
  <c r="E8" i="9"/>
  <c r="F7" i="9"/>
  <c r="E7" i="9"/>
  <c r="D7" i="9"/>
  <c r="C7" i="9"/>
  <c r="F162" i="10"/>
  <c r="E162" i="10"/>
  <c r="D162" i="10"/>
  <c r="C162" i="10"/>
  <c r="F161" i="10"/>
  <c r="E161" i="10"/>
  <c r="F160" i="10"/>
  <c r="E160" i="10"/>
  <c r="D160" i="10"/>
  <c r="C160" i="10"/>
  <c r="F159" i="10"/>
  <c r="E159" i="10"/>
  <c r="D159" i="10"/>
  <c r="C159" i="10"/>
  <c r="F158" i="10"/>
  <c r="E158" i="10"/>
  <c r="D158" i="10"/>
  <c r="C158" i="10"/>
  <c r="F156" i="10"/>
  <c r="E156" i="10"/>
  <c r="D156" i="10"/>
  <c r="C156" i="10"/>
  <c r="F154" i="10"/>
  <c r="E154" i="10"/>
  <c r="D154" i="10"/>
  <c r="C154" i="10"/>
  <c r="F153" i="10"/>
  <c r="E153" i="10"/>
  <c r="D153" i="10"/>
  <c r="C153" i="10"/>
  <c r="F151" i="10"/>
  <c r="E151" i="10"/>
  <c r="F150" i="10"/>
  <c r="E150" i="10"/>
  <c r="D150" i="10"/>
  <c r="C150" i="10"/>
  <c r="F165" i="10"/>
  <c r="E165" i="10"/>
  <c r="F164" i="10"/>
  <c r="E164" i="10"/>
  <c r="D164" i="10"/>
  <c r="C164" i="10"/>
  <c r="F148" i="10"/>
  <c r="E148" i="10"/>
  <c r="F147" i="10"/>
  <c r="E147" i="10"/>
  <c r="D147" i="10"/>
  <c r="C147" i="10"/>
  <c r="F146" i="10"/>
  <c r="E146" i="10"/>
  <c r="F145" i="10"/>
  <c r="E145" i="10"/>
  <c r="F142" i="10"/>
  <c r="E142" i="10"/>
  <c r="D142" i="10"/>
  <c r="C142" i="10"/>
  <c r="F149" i="10"/>
  <c r="E149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2" i="10"/>
  <c r="E132" i="10"/>
  <c r="F121" i="10"/>
  <c r="E121" i="10"/>
  <c r="F119" i="10"/>
  <c r="E119" i="10"/>
  <c r="F120" i="10"/>
  <c r="E120" i="10"/>
  <c r="F122" i="10"/>
  <c r="E122" i="10"/>
  <c r="F125" i="10"/>
  <c r="E125" i="10"/>
  <c r="D125" i="10"/>
  <c r="C125" i="10"/>
  <c r="F123" i="10"/>
  <c r="E123" i="10"/>
  <c r="D123" i="10"/>
  <c r="C123" i="10"/>
  <c r="F118" i="10"/>
  <c r="E118" i="10"/>
  <c r="F117" i="10"/>
  <c r="E117" i="10"/>
  <c r="F131" i="10"/>
  <c r="E131" i="10"/>
  <c r="D131" i="10"/>
  <c r="C131" i="10"/>
  <c r="F130" i="10"/>
  <c r="E130" i="10"/>
  <c r="D130" i="10"/>
  <c r="C130" i="10"/>
  <c r="F129" i="10"/>
  <c r="E129" i="10"/>
  <c r="F103" i="10"/>
  <c r="E103" i="10"/>
  <c r="F102" i="10"/>
  <c r="E102" i="10"/>
  <c r="D102" i="10"/>
  <c r="F100" i="10"/>
  <c r="E100" i="10"/>
  <c r="F99" i="10"/>
  <c r="E99" i="10"/>
  <c r="F98" i="10"/>
  <c r="E98" i="10"/>
  <c r="F97" i="10"/>
  <c r="E97" i="10"/>
  <c r="F114" i="10"/>
  <c r="E114" i="10"/>
  <c r="D114" i="10"/>
  <c r="C114" i="10"/>
  <c r="F113" i="10"/>
  <c r="E113" i="10"/>
  <c r="D113" i="10"/>
  <c r="C113" i="10"/>
  <c r="F112" i="10"/>
  <c r="E112" i="10"/>
  <c r="D112" i="10"/>
  <c r="C112" i="10"/>
  <c r="F110" i="10"/>
  <c r="E110" i="10"/>
  <c r="D110" i="10"/>
  <c r="C110" i="10"/>
  <c r="F124" i="10"/>
  <c r="E124" i="10"/>
  <c r="D124" i="10"/>
  <c r="C124" i="10"/>
  <c r="F111" i="10"/>
  <c r="E111" i="10"/>
  <c r="F96" i="10"/>
  <c r="E96" i="10"/>
  <c r="F104" i="10"/>
  <c r="E104" i="10"/>
  <c r="F109" i="10"/>
  <c r="E109" i="10"/>
  <c r="D109" i="10"/>
  <c r="C109" i="10"/>
  <c r="F108" i="10"/>
  <c r="E108" i="10"/>
  <c r="D108" i="10"/>
  <c r="C108" i="10"/>
  <c r="F107" i="10"/>
  <c r="E107" i="10"/>
  <c r="D107" i="10"/>
  <c r="C107" i="10"/>
  <c r="F95" i="10"/>
  <c r="E95" i="10"/>
  <c r="F106" i="10"/>
  <c r="E106" i="10"/>
  <c r="F105" i="10"/>
  <c r="E105" i="10"/>
  <c r="D105" i="10"/>
  <c r="C105" i="10"/>
  <c r="F94" i="10"/>
  <c r="E94" i="10"/>
  <c r="F91" i="10"/>
  <c r="E91" i="10"/>
  <c r="F88" i="10"/>
  <c r="E88" i="10"/>
  <c r="F89" i="10"/>
  <c r="E89" i="10"/>
  <c r="F84" i="10"/>
  <c r="E84" i="10"/>
  <c r="F86" i="10"/>
  <c r="E86" i="10"/>
  <c r="F85" i="10"/>
  <c r="E85" i="10"/>
  <c r="F87" i="10"/>
  <c r="E87" i="10"/>
  <c r="F80" i="10"/>
  <c r="E80" i="10"/>
  <c r="F79" i="10"/>
  <c r="E79" i="10"/>
  <c r="F82" i="10"/>
  <c r="E82" i="10"/>
  <c r="F90" i="10"/>
  <c r="E90" i="10"/>
  <c r="F83" i="10"/>
  <c r="E83" i="10"/>
  <c r="F76" i="10"/>
  <c r="E76" i="10"/>
  <c r="F75" i="10"/>
  <c r="E75" i="10"/>
  <c r="D75" i="10"/>
  <c r="C75" i="10"/>
  <c r="F72" i="10"/>
  <c r="E72" i="10"/>
  <c r="D72" i="10"/>
  <c r="C72" i="10"/>
  <c r="F71" i="10"/>
  <c r="E71" i="10"/>
  <c r="D71" i="10"/>
  <c r="C71" i="10"/>
  <c r="F70" i="10"/>
  <c r="E70" i="10"/>
  <c r="F69" i="10"/>
  <c r="E69" i="10"/>
  <c r="D69" i="10"/>
  <c r="C69" i="10"/>
  <c r="F68" i="10"/>
  <c r="E68" i="10"/>
  <c r="D68" i="10"/>
  <c r="C68" i="10"/>
  <c r="F67" i="10"/>
  <c r="E67" i="10"/>
  <c r="D67" i="10"/>
  <c r="C67" i="10"/>
  <c r="F66" i="10"/>
  <c r="E66" i="10"/>
  <c r="F65" i="10"/>
  <c r="E65" i="10"/>
  <c r="F64" i="10"/>
  <c r="E64" i="10"/>
  <c r="F63" i="10"/>
  <c r="E63" i="10"/>
  <c r="D63" i="10"/>
  <c r="C63" i="10"/>
  <c r="F62" i="10"/>
  <c r="E62" i="10"/>
  <c r="F58" i="10"/>
  <c r="E58" i="10"/>
  <c r="D58" i="10"/>
  <c r="C58" i="10"/>
  <c r="F57" i="10"/>
  <c r="E57" i="10"/>
  <c r="F53" i="10"/>
  <c r="E53" i="10"/>
  <c r="F52" i="10"/>
  <c r="E52" i="10"/>
  <c r="F51" i="10"/>
  <c r="E51" i="10"/>
  <c r="F50" i="10"/>
  <c r="E50" i="10"/>
  <c r="F47" i="10"/>
  <c r="E47" i="10"/>
  <c r="F46" i="10"/>
  <c r="E46" i="10"/>
  <c r="F45" i="10"/>
  <c r="E45" i="10"/>
  <c r="F44" i="10"/>
  <c r="E44" i="10"/>
  <c r="D44" i="10"/>
  <c r="C44" i="10"/>
  <c r="F43" i="10"/>
  <c r="E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F38" i="10"/>
  <c r="E38" i="10"/>
  <c r="F37" i="10"/>
  <c r="E37" i="10"/>
  <c r="F36" i="10"/>
  <c r="E36" i="10"/>
  <c r="F35" i="10"/>
  <c r="E35" i="10"/>
  <c r="D35" i="10"/>
  <c r="C35" i="10"/>
  <c r="F34" i="10"/>
  <c r="E34" i="10"/>
  <c r="D34" i="10"/>
  <c r="C34" i="10"/>
  <c r="F33" i="10"/>
  <c r="E33" i="10"/>
  <c r="F32" i="10"/>
  <c r="E32" i="10"/>
  <c r="D32" i="10"/>
  <c r="C32" i="10"/>
  <c r="F31" i="10"/>
  <c r="E31" i="10"/>
  <c r="F30" i="10"/>
  <c r="E30" i="10"/>
  <c r="F29" i="10"/>
  <c r="E29" i="10"/>
  <c r="F28" i="10"/>
  <c r="E28" i="10"/>
  <c r="F27" i="10"/>
  <c r="E27" i="10"/>
  <c r="D27" i="10"/>
  <c r="C27" i="10"/>
  <c r="F26" i="10"/>
  <c r="E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9" i="10"/>
  <c r="E9" i="10"/>
  <c r="F8" i="10"/>
  <c r="E8" i="10"/>
  <c r="F7" i="10"/>
  <c r="E7" i="10"/>
  <c r="D7" i="10"/>
  <c r="C7" i="10"/>
  <c r="F162" i="11"/>
  <c r="E162" i="11"/>
  <c r="D162" i="11"/>
  <c r="C162" i="11"/>
  <c r="F161" i="11"/>
  <c r="E161" i="11"/>
  <c r="F160" i="11"/>
  <c r="E160" i="11"/>
  <c r="D160" i="11"/>
  <c r="C160" i="11"/>
  <c r="F159" i="11"/>
  <c r="E159" i="11"/>
  <c r="D159" i="11"/>
  <c r="C159" i="11"/>
  <c r="F158" i="11"/>
  <c r="E158" i="11"/>
  <c r="D158" i="11"/>
  <c r="C158" i="11"/>
  <c r="F156" i="11"/>
  <c r="E156" i="11"/>
  <c r="D156" i="11"/>
  <c r="C156" i="11"/>
  <c r="F154" i="11"/>
  <c r="E154" i="11"/>
  <c r="D154" i="11"/>
  <c r="C154" i="11"/>
  <c r="F153" i="11"/>
  <c r="E153" i="11"/>
  <c r="D153" i="11"/>
  <c r="C153" i="11"/>
  <c r="F151" i="11"/>
  <c r="E151" i="11"/>
  <c r="D151" i="11"/>
  <c r="C151" i="11"/>
  <c r="F150" i="11"/>
  <c r="E150" i="11"/>
  <c r="D150" i="11"/>
  <c r="C150" i="11"/>
  <c r="F165" i="11"/>
  <c r="E165" i="11"/>
  <c r="F164" i="11"/>
  <c r="E164" i="11"/>
  <c r="D164" i="11"/>
  <c r="C164" i="11"/>
  <c r="F148" i="11"/>
  <c r="E148" i="11"/>
  <c r="F147" i="11"/>
  <c r="E147" i="11"/>
  <c r="D147" i="11"/>
  <c r="C147" i="11"/>
  <c r="F146" i="11"/>
  <c r="E146" i="11"/>
  <c r="F145" i="11"/>
  <c r="E145" i="11"/>
  <c r="D145" i="11"/>
  <c r="C145" i="11"/>
  <c r="F142" i="11"/>
  <c r="E142" i="11"/>
  <c r="D142" i="11"/>
  <c r="C142" i="11"/>
  <c r="F149" i="11"/>
  <c r="E149" i="11"/>
  <c r="D149" i="11"/>
  <c r="C149" i="11"/>
  <c r="F141" i="11"/>
  <c r="E141" i="11"/>
  <c r="D141" i="11"/>
  <c r="C141" i="11"/>
  <c r="F140" i="11"/>
  <c r="E140" i="11"/>
  <c r="D140" i="11"/>
  <c r="C140" i="11"/>
  <c r="F139" i="11"/>
  <c r="E139" i="11"/>
  <c r="D139" i="11"/>
  <c r="C139" i="11"/>
  <c r="F138" i="11"/>
  <c r="E138" i="11"/>
  <c r="D138" i="11"/>
  <c r="C138" i="11"/>
  <c r="F137" i="11"/>
  <c r="E137" i="11"/>
  <c r="D137" i="11"/>
  <c r="C137" i="11"/>
  <c r="F136" i="11"/>
  <c r="E136" i="11"/>
  <c r="F135" i="11"/>
  <c r="E135" i="11"/>
  <c r="F100" i="11"/>
  <c r="E100" i="11"/>
  <c r="D100" i="11"/>
  <c r="C100" i="11"/>
  <c r="F99" i="11"/>
  <c r="E99" i="11"/>
  <c r="D99" i="11"/>
  <c r="C99" i="11"/>
  <c r="F98" i="11"/>
  <c r="E98" i="11"/>
  <c r="D98" i="11"/>
  <c r="C98" i="11"/>
  <c r="F97" i="11"/>
  <c r="E97" i="11"/>
  <c r="F114" i="11"/>
  <c r="E114" i="11"/>
  <c r="D114" i="11"/>
  <c r="C114" i="11"/>
  <c r="F113" i="11"/>
  <c r="E113" i="11"/>
  <c r="D113" i="11"/>
  <c r="C113" i="11"/>
  <c r="F112" i="11"/>
  <c r="E112" i="11"/>
  <c r="D112" i="11"/>
  <c r="C112" i="11"/>
  <c r="F110" i="11"/>
  <c r="E110" i="11"/>
  <c r="D110" i="11"/>
  <c r="C110" i="11"/>
  <c r="F124" i="11"/>
  <c r="E124" i="11"/>
  <c r="D124" i="11"/>
  <c r="C124" i="11"/>
  <c r="F111" i="11"/>
  <c r="E111" i="11"/>
  <c r="F96" i="11"/>
  <c r="E96" i="11"/>
  <c r="F104" i="11"/>
  <c r="E104" i="11"/>
  <c r="F109" i="11"/>
  <c r="E109" i="11"/>
  <c r="D109" i="11"/>
  <c r="C109" i="11"/>
  <c r="F108" i="11"/>
  <c r="E108" i="11"/>
  <c r="D108" i="11"/>
  <c r="C108" i="11"/>
  <c r="F107" i="11"/>
  <c r="E107" i="11"/>
  <c r="D107" i="11"/>
  <c r="C107" i="11"/>
  <c r="F95" i="11"/>
  <c r="E95" i="11"/>
  <c r="F106" i="11"/>
  <c r="E106" i="11"/>
  <c r="D106" i="11"/>
  <c r="C106" i="11"/>
  <c r="F105" i="11"/>
  <c r="E105" i="11"/>
  <c r="D105" i="11"/>
  <c r="C105" i="11"/>
  <c r="F94" i="11"/>
  <c r="E94" i="11"/>
  <c r="F132" i="11"/>
  <c r="E132" i="11"/>
  <c r="D132" i="11"/>
  <c r="C132" i="11"/>
  <c r="F121" i="11"/>
  <c r="E121" i="11"/>
  <c r="D121" i="11"/>
  <c r="C121" i="11"/>
  <c r="F119" i="11"/>
  <c r="E119" i="11"/>
  <c r="D119" i="11"/>
  <c r="C119" i="11"/>
  <c r="F120" i="11"/>
  <c r="E120" i="11"/>
  <c r="D120" i="11"/>
  <c r="C120" i="11"/>
  <c r="F122" i="11"/>
  <c r="E122" i="11"/>
  <c r="D122" i="11"/>
  <c r="C122" i="11"/>
  <c r="F125" i="11"/>
  <c r="E125" i="11"/>
  <c r="D125" i="11"/>
  <c r="C125" i="11"/>
  <c r="F123" i="11"/>
  <c r="E123" i="11"/>
  <c r="D123" i="11"/>
  <c r="C123" i="11"/>
  <c r="F118" i="11"/>
  <c r="E118" i="11"/>
  <c r="D118" i="11"/>
  <c r="C118" i="11"/>
  <c r="F117" i="11"/>
  <c r="E117" i="11"/>
  <c r="D117" i="11"/>
  <c r="C117" i="11"/>
  <c r="F131" i="11"/>
  <c r="E131" i="11"/>
  <c r="D131" i="11"/>
  <c r="C131" i="11"/>
  <c r="F130" i="11"/>
  <c r="E130" i="11"/>
  <c r="D130" i="11"/>
  <c r="C130" i="11"/>
  <c r="F129" i="11"/>
  <c r="E129" i="11"/>
  <c r="D129" i="11"/>
  <c r="C129" i="11"/>
  <c r="F103" i="11"/>
  <c r="E103" i="11"/>
  <c r="F102" i="11"/>
  <c r="E102" i="11"/>
  <c r="F72" i="11"/>
  <c r="F71" i="11"/>
  <c r="F70" i="11"/>
  <c r="F69" i="11"/>
  <c r="F68" i="11"/>
  <c r="F67" i="11"/>
  <c r="F66" i="11"/>
  <c r="F65" i="11"/>
  <c r="F64" i="11"/>
  <c r="F63" i="11"/>
  <c r="F62" i="11"/>
  <c r="E72" i="11"/>
  <c r="E71" i="11"/>
  <c r="E70" i="11"/>
  <c r="E69" i="11"/>
  <c r="E68" i="11"/>
  <c r="E67" i="11"/>
  <c r="E66" i="11"/>
  <c r="E65" i="11"/>
  <c r="E64" i="11"/>
  <c r="E63" i="11"/>
  <c r="E62" i="11"/>
  <c r="D72" i="11"/>
  <c r="D71" i="11"/>
  <c r="D69" i="11"/>
  <c r="D67" i="11"/>
  <c r="D66" i="11"/>
  <c r="D64" i="11"/>
  <c r="D63" i="11"/>
  <c r="D62" i="11"/>
  <c r="C72" i="11"/>
  <c r="C71" i="11"/>
  <c r="C69" i="11"/>
  <c r="C67" i="11"/>
  <c r="C66" i="11"/>
  <c r="C64" i="11"/>
  <c r="C63" i="11"/>
  <c r="C62" i="11"/>
  <c r="F57" i="11"/>
  <c r="E57" i="11"/>
  <c r="F53" i="11"/>
  <c r="E53" i="11"/>
  <c r="F52" i="11"/>
  <c r="E52" i="11"/>
  <c r="F51" i="11"/>
  <c r="E51" i="11"/>
  <c r="F50" i="11"/>
  <c r="E50" i="11"/>
  <c r="C58" i="11"/>
  <c r="C57" i="11"/>
  <c r="C52" i="11"/>
  <c r="C51" i="11"/>
  <c r="D57" i="11"/>
  <c r="D10" i="11"/>
  <c r="C48" i="13"/>
  <c r="F48" i="12"/>
  <c r="E48" i="12"/>
  <c r="C48" i="12"/>
  <c r="D48" i="12"/>
  <c r="F58" i="14"/>
  <c r="E58" i="14"/>
  <c r="D58" i="14"/>
  <c r="C58" i="14"/>
  <c r="F10" i="14"/>
  <c r="E10" i="14"/>
  <c r="D10" i="14"/>
  <c r="C10" i="14"/>
  <c r="F58" i="15"/>
  <c r="E58" i="15"/>
  <c r="D58" i="15"/>
  <c r="C58" i="15"/>
  <c r="F10" i="15"/>
  <c r="E10" i="15"/>
  <c r="D10" i="15"/>
  <c r="C10" i="15"/>
  <c r="C133" i="17"/>
  <c r="C77" i="17"/>
  <c r="C48" i="17"/>
  <c r="F135" i="6"/>
  <c r="E135" i="6"/>
  <c r="D135" i="6"/>
  <c r="C135" i="6"/>
  <c r="F94" i="6"/>
  <c r="E94" i="6"/>
  <c r="C94" i="6"/>
  <c r="F83" i="6"/>
  <c r="E83" i="6"/>
  <c r="C83" i="6"/>
  <c r="F62" i="6"/>
  <c r="E62" i="6"/>
  <c r="D54" i="6"/>
  <c r="F50" i="6"/>
  <c r="E50" i="6"/>
  <c r="C50" i="6"/>
  <c r="D46" i="6"/>
  <c r="D36" i="6"/>
  <c r="G35" i="6"/>
  <c r="H35" i="6" s="1"/>
  <c r="G34" i="6"/>
  <c r="G33" i="6"/>
  <c r="D32" i="6"/>
  <c r="D25" i="6"/>
  <c r="C22" i="6"/>
  <c r="O21" i="6"/>
  <c r="O48" i="6" s="1"/>
  <c r="O168" i="6" s="1"/>
  <c r="D18" i="6"/>
  <c r="P17" i="6"/>
  <c r="L17" i="6"/>
  <c r="L48" i="6" s="1"/>
  <c r="L168" i="6" s="1"/>
  <c r="F14" i="6"/>
  <c r="E14" i="6"/>
  <c r="F7" i="6"/>
  <c r="E7" i="6"/>
  <c r="D7" i="6"/>
  <c r="C7" i="6"/>
  <c r="C132" i="5"/>
  <c r="D132" i="5" s="1"/>
  <c r="D133" i="5" s="1"/>
  <c r="D76" i="5"/>
  <c r="D77" i="5" s="1"/>
  <c r="C70" i="5"/>
  <c r="D70" i="5" s="1"/>
  <c r="C66" i="5"/>
  <c r="D66" i="5" s="1"/>
  <c r="D62" i="5"/>
  <c r="C41" i="5"/>
  <c r="D41" i="5" s="1"/>
  <c r="C38" i="5"/>
  <c r="D38" i="5" s="1"/>
  <c r="C35" i="5"/>
  <c r="D35" i="5" s="1"/>
  <c r="C33" i="5"/>
  <c r="D33" i="5" s="1"/>
  <c r="C30" i="5"/>
  <c r="K132" i="9"/>
  <c r="G132" i="9"/>
  <c r="C94" i="9"/>
  <c r="K70" i="9"/>
  <c r="K66" i="9"/>
  <c r="G66" i="9"/>
  <c r="K57" i="9"/>
  <c r="L57" i="9" s="1"/>
  <c r="C56" i="9"/>
  <c r="G54" i="9"/>
  <c r="K53" i="9"/>
  <c r="L53" i="9" s="1"/>
  <c r="G53" i="9"/>
  <c r="H53" i="9" s="1"/>
  <c r="K52" i="9"/>
  <c r="L52" i="9" s="1"/>
  <c r="G52" i="9"/>
  <c r="K51" i="9"/>
  <c r="G47" i="9"/>
  <c r="G45" i="9"/>
  <c r="H45" i="9" s="1"/>
  <c r="K44" i="9"/>
  <c r="L44" i="9" s="1"/>
  <c r="G44" i="9"/>
  <c r="H44" i="9" s="1"/>
  <c r="K38" i="9"/>
  <c r="L38" i="9" s="1"/>
  <c r="G38" i="9"/>
  <c r="H38" i="9" s="1"/>
  <c r="K26" i="9"/>
  <c r="G26" i="9"/>
  <c r="D21" i="9"/>
  <c r="C21" i="9"/>
  <c r="K8" i="9"/>
  <c r="K12" i="9" s="1"/>
  <c r="C165" i="10"/>
  <c r="C145" i="10"/>
  <c r="C149" i="10"/>
  <c r="C140" i="10"/>
  <c r="C138" i="10"/>
  <c r="C136" i="10"/>
  <c r="N133" i="10"/>
  <c r="J133" i="10"/>
  <c r="G132" i="10"/>
  <c r="C119" i="10"/>
  <c r="C122" i="10"/>
  <c r="C117" i="10"/>
  <c r="C99" i="10"/>
  <c r="C111" i="10"/>
  <c r="C95" i="10"/>
  <c r="C89" i="10"/>
  <c r="D84" i="10"/>
  <c r="C87" i="10"/>
  <c r="C80" i="10"/>
  <c r="D79" i="10"/>
  <c r="C82" i="10"/>
  <c r="C83" i="10"/>
  <c r="H76" i="10"/>
  <c r="G76" i="10"/>
  <c r="K70" i="10"/>
  <c r="K73" i="10" s="1"/>
  <c r="G70" i="10"/>
  <c r="G66" i="10"/>
  <c r="G65" i="10"/>
  <c r="G62" i="10"/>
  <c r="G57" i="10"/>
  <c r="H57" i="10" s="1"/>
  <c r="C56" i="10"/>
  <c r="G53" i="10"/>
  <c r="H53" i="10" s="1"/>
  <c r="C52" i="10"/>
  <c r="K51" i="10"/>
  <c r="K60" i="10" s="1"/>
  <c r="G51" i="10"/>
  <c r="K47" i="10"/>
  <c r="L47" i="10" s="1"/>
  <c r="G47" i="10"/>
  <c r="H47" i="10" s="1"/>
  <c r="C46" i="10"/>
  <c r="K45" i="10"/>
  <c r="L45" i="10" s="1"/>
  <c r="G45" i="10"/>
  <c r="H45" i="10" s="1"/>
  <c r="G43" i="10"/>
  <c r="H43" i="10" s="1"/>
  <c r="G39" i="10"/>
  <c r="G38" i="10"/>
  <c r="H38" i="10" s="1"/>
  <c r="K37" i="10"/>
  <c r="L37" i="10" s="1"/>
  <c r="G37" i="10"/>
  <c r="H37" i="10" s="1"/>
  <c r="G33" i="10"/>
  <c r="K31" i="10"/>
  <c r="C20" i="10"/>
  <c r="C9" i="10"/>
  <c r="C8" i="10"/>
  <c r="C161" i="11"/>
  <c r="C165" i="11"/>
  <c r="C148" i="11"/>
  <c r="C146" i="11"/>
  <c r="D136" i="11"/>
  <c r="C135" i="11"/>
  <c r="D103" i="11"/>
  <c r="C111" i="11"/>
  <c r="D96" i="11"/>
  <c r="C95" i="11"/>
  <c r="D91" i="11"/>
  <c r="F91" i="11"/>
  <c r="E91" i="11"/>
  <c r="C88" i="11"/>
  <c r="F88" i="11"/>
  <c r="E88" i="11"/>
  <c r="D89" i="11"/>
  <c r="F89" i="11"/>
  <c r="E89" i="11"/>
  <c r="C84" i="11"/>
  <c r="F84" i="11"/>
  <c r="E84" i="11"/>
  <c r="F86" i="11"/>
  <c r="E86" i="11"/>
  <c r="C85" i="11"/>
  <c r="F85" i="11"/>
  <c r="E85" i="11"/>
  <c r="F87" i="11"/>
  <c r="E87" i="11"/>
  <c r="D80" i="11"/>
  <c r="F80" i="11"/>
  <c r="E80" i="11"/>
  <c r="D79" i="11"/>
  <c r="C79" i="11"/>
  <c r="F79" i="11"/>
  <c r="E79" i="11"/>
  <c r="F82" i="11"/>
  <c r="E82" i="11"/>
  <c r="C90" i="11"/>
  <c r="F90" i="11"/>
  <c r="E90" i="11"/>
  <c r="F83" i="11"/>
  <c r="E83" i="11"/>
  <c r="G76" i="11"/>
  <c r="G77" i="11" s="1"/>
  <c r="F76" i="11"/>
  <c r="E76" i="11"/>
  <c r="F75" i="11"/>
  <c r="E75" i="11"/>
  <c r="D75" i="11"/>
  <c r="C75" i="11"/>
  <c r="K70" i="11"/>
  <c r="K68" i="11"/>
  <c r="D65" i="11"/>
  <c r="K53" i="11"/>
  <c r="L53" i="11" s="1"/>
  <c r="G53" i="11"/>
  <c r="G60" i="11" s="1"/>
  <c r="D52" i="11"/>
  <c r="D51" i="11"/>
  <c r="K50" i="11"/>
  <c r="D47" i="11"/>
  <c r="C46" i="11"/>
  <c r="F46" i="11"/>
  <c r="E46" i="11"/>
  <c r="G45" i="11"/>
  <c r="F45" i="11"/>
  <c r="E45" i="11"/>
  <c r="C44" i="11"/>
  <c r="F44" i="11"/>
  <c r="E44" i="11"/>
  <c r="D43" i="11"/>
  <c r="F43" i="11"/>
  <c r="E43" i="11"/>
  <c r="F42" i="11"/>
  <c r="E42" i="11"/>
  <c r="D42" i="11"/>
  <c r="C42" i="11"/>
  <c r="G41" i="11"/>
  <c r="F41" i="11"/>
  <c r="E41" i="11"/>
  <c r="G40" i="11"/>
  <c r="F40" i="11"/>
  <c r="E40" i="11"/>
  <c r="K39" i="11"/>
  <c r="L39" i="11" s="1"/>
  <c r="F39" i="11"/>
  <c r="E39" i="11"/>
  <c r="F38" i="11"/>
  <c r="E38" i="11"/>
  <c r="D38" i="11"/>
  <c r="C38" i="11"/>
  <c r="G37" i="11"/>
  <c r="F37" i="11"/>
  <c r="E37" i="11"/>
  <c r="F36" i="11"/>
  <c r="E36" i="11"/>
  <c r="D36" i="11"/>
  <c r="C36" i="11"/>
  <c r="G35" i="11"/>
  <c r="F35" i="11"/>
  <c r="E35" i="11"/>
  <c r="F34" i="11"/>
  <c r="E34" i="11"/>
  <c r="D34" i="11"/>
  <c r="C34" i="11"/>
  <c r="F33" i="11"/>
  <c r="E33" i="11"/>
  <c r="D33" i="11"/>
  <c r="C33" i="11"/>
  <c r="F32" i="11"/>
  <c r="E32" i="11"/>
  <c r="D32" i="11"/>
  <c r="C32" i="11"/>
  <c r="G31" i="11"/>
  <c r="F31" i="11"/>
  <c r="E31" i="11"/>
  <c r="G30" i="11"/>
  <c r="H30" i="11" s="1"/>
  <c r="F30" i="11"/>
  <c r="E30" i="11"/>
  <c r="F29" i="11"/>
  <c r="E29" i="11"/>
  <c r="D29" i="11"/>
  <c r="C29" i="11"/>
  <c r="F28" i="11"/>
  <c r="E28" i="11"/>
  <c r="D28" i="11"/>
  <c r="C28" i="11"/>
  <c r="G27" i="11"/>
  <c r="F27" i="11"/>
  <c r="E27" i="11"/>
  <c r="G26" i="11"/>
  <c r="F26" i="11"/>
  <c r="E26" i="11"/>
  <c r="F25" i="11"/>
  <c r="E25" i="11"/>
  <c r="D25" i="11"/>
  <c r="C25" i="11"/>
  <c r="F24" i="11"/>
  <c r="E24" i="11"/>
  <c r="D24" i="11"/>
  <c r="C24" i="11"/>
  <c r="F23" i="11"/>
  <c r="E23" i="11"/>
  <c r="D23" i="11"/>
  <c r="C23" i="11"/>
  <c r="K22" i="11"/>
  <c r="F22" i="11"/>
  <c r="E22" i="11"/>
  <c r="F21" i="11"/>
  <c r="E21" i="11"/>
  <c r="D21" i="11"/>
  <c r="C21" i="11"/>
  <c r="F20" i="11"/>
  <c r="E20" i="11"/>
  <c r="D20" i="11"/>
  <c r="C20" i="11"/>
  <c r="L19" i="11"/>
  <c r="F19" i="11"/>
  <c r="E19" i="11"/>
  <c r="F18" i="11"/>
  <c r="F17" i="11"/>
  <c r="E17" i="11"/>
  <c r="F16" i="11"/>
  <c r="E16" i="11"/>
  <c r="D16" i="11"/>
  <c r="C16" i="11"/>
  <c r="F15" i="11"/>
  <c r="E15" i="11"/>
  <c r="D15" i="11"/>
  <c r="C15" i="11"/>
  <c r="F14" i="11"/>
  <c r="E14" i="11"/>
  <c r="F9" i="11"/>
  <c r="E9" i="11"/>
  <c r="D9" i="11"/>
  <c r="C9" i="11"/>
  <c r="F8" i="11"/>
  <c r="E8" i="11"/>
  <c r="D8" i="11"/>
  <c r="C8" i="11"/>
  <c r="F7" i="11"/>
  <c r="E7" i="11"/>
  <c r="D7" i="11"/>
  <c r="C7" i="11"/>
  <c r="F77" i="11" l="1"/>
  <c r="K48" i="11"/>
  <c r="E60" i="10"/>
  <c r="K73" i="11"/>
  <c r="D77" i="7"/>
  <c r="E73" i="6"/>
  <c r="F60" i="7"/>
  <c r="E12" i="11"/>
  <c r="F60" i="10"/>
  <c r="G48" i="6"/>
  <c r="G168" i="6" s="1"/>
  <c r="E77" i="7"/>
  <c r="F60" i="11"/>
  <c r="D73" i="5"/>
  <c r="E60" i="6"/>
  <c r="D166" i="6"/>
  <c r="E60" i="7"/>
  <c r="F73" i="6"/>
  <c r="F92" i="6"/>
  <c r="K60" i="9"/>
  <c r="E60" i="9"/>
  <c r="F77" i="8"/>
  <c r="D73" i="7"/>
  <c r="F12" i="11"/>
  <c r="G60" i="10"/>
  <c r="G60" i="9"/>
  <c r="F60" i="9"/>
  <c r="C48" i="5"/>
  <c r="E77" i="10"/>
  <c r="E73" i="9"/>
  <c r="E60" i="11"/>
  <c r="F166" i="11"/>
  <c r="K60" i="11"/>
  <c r="E133" i="11"/>
  <c r="D77" i="9"/>
  <c r="F77" i="7"/>
  <c r="D12" i="11"/>
  <c r="E77" i="9"/>
  <c r="C60" i="7"/>
  <c r="F60" i="6"/>
  <c r="F77" i="9"/>
  <c r="D60" i="7"/>
  <c r="H132" i="9"/>
  <c r="H133" i="9" s="1"/>
  <c r="G133" i="9"/>
  <c r="F73" i="11"/>
  <c r="F133" i="11"/>
  <c r="E166" i="10"/>
  <c r="F73" i="9"/>
  <c r="E166" i="9"/>
  <c r="E92" i="7"/>
  <c r="G48" i="10"/>
  <c r="D76" i="10"/>
  <c r="D77" i="10" s="1"/>
  <c r="H77" i="10"/>
  <c r="D30" i="5"/>
  <c r="D48" i="5" s="1"/>
  <c r="E12" i="6"/>
  <c r="C133" i="7"/>
  <c r="F166" i="9"/>
  <c r="F92" i="7"/>
  <c r="E48" i="11"/>
  <c r="F12" i="6"/>
  <c r="D133" i="7"/>
  <c r="F166" i="10"/>
  <c r="F48" i="11"/>
  <c r="H26" i="9"/>
  <c r="G48" i="9"/>
  <c r="E48" i="6"/>
  <c r="E133" i="6"/>
  <c r="E133" i="7"/>
  <c r="D92" i="7"/>
  <c r="C76" i="10"/>
  <c r="G77" i="10"/>
  <c r="E77" i="11"/>
  <c r="E92" i="11"/>
  <c r="L26" i="9"/>
  <c r="L48" i="9" s="1"/>
  <c r="K48" i="9"/>
  <c r="F48" i="6"/>
  <c r="F133" i="6"/>
  <c r="E92" i="10"/>
  <c r="E133" i="9"/>
  <c r="F133" i="7"/>
  <c r="D166" i="7"/>
  <c r="D19" i="11"/>
  <c r="F92" i="11"/>
  <c r="F92" i="10"/>
  <c r="E12" i="9"/>
  <c r="F133" i="9"/>
  <c r="D77" i="8"/>
  <c r="D48" i="7"/>
  <c r="D77" i="6"/>
  <c r="E12" i="10"/>
  <c r="E48" i="10"/>
  <c r="E73" i="10"/>
  <c r="F12" i="9"/>
  <c r="F48" i="9"/>
  <c r="E92" i="9"/>
  <c r="E77" i="8"/>
  <c r="E77" i="6"/>
  <c r="L31" i="10"/>
  <c r="L48" i="10" s="1"/>
  <c r="K48" i="10"/>
  <c r="L132" i="9"/>
  <c r="L133" i="9" s="1"/>
  <c r="K133" i="9"/>
  <c r="E73" i="11"/>
  <c r="H26" i="11"/>
  <c r="D26" i="11" s="1"/>
  <c r="G48" i="11"/>
  <c r="G73" i="10"/>
  <c r="H66" i="9"/>
  <c r="H73" i="9" s="1"/>
  <c r="G73" i="9"/>
  <c r="E166" i="6"/>
  <c r="F12" i="10"/>
  <c r="F48" i="10"/>
  <c r="F73" i="10"/>
  <c r="F77" i="10"/>
  <c r="E48" i="9"/>
  <c r="F92" i="9"/>
  <c r="E73" i="7"/>
  <c r="F77" i="6"/>
  <c r="L66" i="9"/>
  <c r="K73" i="9"/>
  <c r="F166" i="6"/>
  <c r="E166" i="11"/>
  <c r="F73" i="7"/>
  <c r="E92" i="6"/>
  <c r="C132" i="10"/>
  <c r="H132" i="10"/>
  <c r="D132" i="10" s="1"/>
  <c r="C92" i="7"/>
  <c r="C92" i="6"/>
  <c r="C70" i="11"/>
  <c r="L70" i="11"/>
  <c r="D70" i="11" s="1"/>
  <c r="C64" i="10"/>
  <c r="D64" i="10"/>
  <c r="C65" i="10"/>
  <c r="H65" i="10"/>
  <c r="D65" i="10" s="1"/>
  <c r="C66" i="10"/>
  <c r="H66" i="10"/>
  <c r="D66" i="10" s="1"/>
  <c r="C62" i="6"/>
  <c r="C73" i="6" s="1"/>
  <c r="C62" i="10"/>
  <c r="H62" i="10"/>
  <c r="C56" i="20"/>
  <c r="C58" i="20"/>
  <c r="C166" i="6"/>
  <c r="E58" i="20"/>
  <c r="H52" i="9"/>
  <c r="D58" i="20"/>
  <c r="H53" i="11"/>
  <c r="F58" i="20"/>
  <c r="H51" i="10"/>
  <c r="H60" i="10" s="1"/>
  <c r="L51" i="10"/>
  <c r="L60" i="10" s="1"/>
  <c r="H54" i="9"/>
  <c r="D54" i="9" s="1"/>
  <c r="C54" i="9"/>
  <c r="D11" i="7"/>
  <c r="D12" i="7" s="1"/>
  <c r="C51" i="9"/>
  <c r="L51" i="9"/>
  <c r="L60" i="9" s="1"/>
  <c r="C50" i="11"/>
  <c r="L50" i="11"/>
  <c r="L60" i="11" s="1"/>
  <c r="H45" i="11"/>
  <c r="D45" i="11" s="1"/>
  <c r="C47" i="9"/>
  <c r="H47" i="9"/>
  <c r="D47" i="9" s="1"/>
  <c r="C31" i="11"/>
  <c r="H31" i="11"/>
  <c r="D31" i="11" s="1"/>
  <c r="C33" i="10"/>
  <c r="H33" i="10"/>
  <c r="D33" i="10" s="1"/>
  <c r="H35" i="11"/>
  <c r="D35" i="11" s="1"/>
  <c r="C39" i="10"/>
  <c r="H39" i="10"/>
  <c r="C137" i="9"/>
  <c r="C33" i="6"/>
  <c r="H33" i="6"/>
  <c r="C34" i="6"/>
  <c r="H34" i="6"/>
  <c r="D34" i="6" s="1"/>
  <c r="C40" i="11"/>
  <c r="H40" i="11"/>
  <c r="D40" i="11" s="1"/>
  <c r="H37" i="11"/>
  <c r="D37" i="11" s="1"/>
  <c r="C41" i="11"/>
  <c r="H41" i="11"/>
  <c r="D41" i="11" s="1"/>
  <c r="D50" i="6"/>
  <c r="D82" i="6"/>
  <c r="D99" i="6"/>
  <c r="D103" i="6"/>
  <c r="C27" i="11"/>
  <c r="H27" i="11"/>
  <c r="D27" i="11" s="1"/>
  <c r="D43" i="6"/>
  <c r="L22" i="11"/>
  <c r="D22" i="11" s="1"/>
  <c r="C22" i="11"/>
  <c r="C77" i="7"/>
  <c r="P21" i="6"/>
  <c r="P48" i="6" s="1"/>
  <c r="P168" i="6" s="1"/>
  <c r="C21" i="6"/>
  <c r="C37" i="9"/>
  <c r="D17" i="6"/>
  <c r="D94" i="9"/>
  <c r="C53" i="10"/>
  <c r="C97" i="10"/>
  <c r="D86" i="11"/>
  <c r="C12" i="11"/>
  <c r="D82" i="11"/>
  <c r="I168" i="16"/>
  <c r="J168" i="16"/>
  <c r="M168" i="16"/>
  <c r="N168" i="16"/>
  <c r="D136" i="9"/>
  <c r="D41" i="6"/>
  <c r="C48" i="7"/>
  <c r="C73" i="7"/>
  <c r="C106" i="10"/>
  <c r="D65" i="6"/>
  <c r="D86" i="6"/>
  <c r="D91" i="6"/>
  <c r="C133" i="6"/>
  <c r="D104" i="6"/>
  <c r="D46" i="11"/>
  <c r="C82" i="11"/>
  <c r="C166" i="7"/>
  <c r="C43" i="11"/>
  <c r="C30" i="10"/>
  <c r="D104" i="10"/>
  <c r="E133" i="10"/>
  <c r="C168" i="19"/>
  <c r="C87" i="11"/>
  <c r="C94" i="11"/>
  <c r="C38" i="9"/>
  <c r="C77" i="6"/>
  <c r="D100" i="6"/>
  <c r="F133" i="10"/>
  <c r="D27" i="6"/>
  <c r="D31" i="6"/>
  <c r="C30" i="11"/>
  <c r="D146" i="11"/>
  <c r="C60" i="6"/>
  <c r="C86" i="11"/>
  <c r="D64" i="6"/>
  <c r="D70" i="6"/>
  <c r="D88" i="6"/>
  <c r="D95" i="6"/>
  <c r="D122" i="6"/>
  <c r="E168" i="17"/>
  <c r="C37" i="10"/>
  <c r="D139" i="9"/>
  <c r="D39" i="6"/>
  <c r="D45" i="6"/>
  <c r="C90" i="9"/>
  <c r="C132" i="9"/>
  <c r="D24" i="6"/>
  <c r="D57" i="9"/>
  <c r="C57" i="9"/>
  <c r="D28" i="6"/>
  <c r="C28" i="6"/>
  <c r="D28" i="10"/>
  <c r="C28" i="10"/>
  <c r="D100" i="10"/>
  <c r="C100" i="10"/>
  <c r="D28" i="9"/>
  <c r="C28" i="9"/>
  <c r="D45" i="9"/>
  <c r="C45" i="9"/>
  <c r="C52" i="9"/>
  <c r="D20" i="6"/>
  <c r="D35" i="6"/>
  <c r="D52" i="6"/>
  <c r="D89" i="6"/>
  <c r="D106" i="6"/>
  <c r="D111" i="6"/>
  <c r="D123" i="6"/>
  <c r="C136" i="11"/>
  <c r="C79" i="10"/>
  <c r="F168" i="17"/>
  <c r="D38" i="10"/>
  <c r="C38" i="10"/>
  <c r="D121" i="10"/>
  <c r="C121" i="10"/>
  <c r="C135" i="9"/>
  <c r="D15" i="10"/>
  <c r="C15" i="10"/>
  <c r="D43" i="10"/>
  <c r="C43" i="10"/>
  <c r="D16" i="9"/>
  <c r="C16" i="9"/>
  <c r="D131" i="9"/>
  <c r="C131" i="9"/>
  <c r="D146" i="9"/>
  <c r="C146" i="9"/>
  <c r="D87" i="11"/>
  <c r="C16" i="10"/>
  <c r="D29" i="10"/>
  <c r="C29" i="10"/>
  <c r="D45" i="10"/>
  <c r="C45" i="10"/>
  <c r="C103" i="10"/>
  <c r="C8" i="9"/>
  <c r="D29" i="9"/>
  <c r="C29" i="9"/>
  <c r="D53" i="9"/>
  <c r="C53" i="9"/>
  <c r="C77" i="9"/>
  <c r="D104" i="9"/>
  <c r="D16" i="6"/>
  <c r="D29" i="6"/>
  <c r="D87" i="6"/>
  <c r="D97" i="6"/>
  <c r="C35" i="6"/>
  <c r="D139" i="10"/>
  <c r="C139" i="10"/>
  <c r="D85" i="10"/>
  <c r="C85" i="10"/>
  <c r="D123" i="9"/>
  <c r="C123" i="9"/>
  <c r="C53" i="11"/>
  <c r="C139" i="9"/>
  <c r="D161" i="10"/>
  <c r="C161" i="10"/>
  <c r="D141" i="10"/>
  <c r="C141" i="10"/>
  <c r="C91" i="11"/>
  <c r="C12" i="10"/>
  <c r="D50" i="10"/>
  <c r="C50" i="10"/>
  <c r="D57" i="10"/>
  <c r="C57" i="10"/>
  <c r="D90" i="11"/>
  <c r="C86" i="10"/>
  <c r="D129" i="10"/>
  <c r="C129" i="10"/>
  <c r="D111" i="9"/>
  <c r="C111" i="9"/>
  <c r="D137" i="9"/>
  <c r="D40" i="6"/>
  <c r="D53" i="6"/>
  <c r="D85" i="6"/>
  <c r="C65" i="11"/>
  <c r="C84" i="10"/>
  <c r="D103" i="9"/>
  <c r="C103" i="9"/>
  <c r="I168" i="10"/>
  <c r="C31" i="10"/>
  <c r="D47" i="10"/>
  <c r="C47" i="10"/>
  <c r="C51" i="10"/>
  <c r="C70" i="10"/>
  <c r="D96" i="10"/>
  <c r="C96" i="10"/>
  <c r="D146" i="10"/>
  <c r="C146" i="10"/>
  <c r="C66" i="9"/>
  <c r="D83" i="9"/>
  <c r="C83" i="9"/>
  <c r="D30" i="6"/>
  <c r="D47" i="6"/>
  <c r="D90" i="6"/>
  <c r="D98" i="6"/>
  <c r="D102" i="6"/>
  <c r="D132" i="6"/>
  <c r="C24" i="6"/>
  <c r="J168" i="10"/>
  <c r="D148" i="10"/>
  <c r="C148" i="10"/>
  <c r="D97" i="9"/>
  <c r="C97" i="9"/>
  <c r="D164" i="9"/>
  <c r="C164" i="9"/>
  <c r="C136" i="9"/>
  <c r="D118" i="10"/>
  <c r="C118" i="10"/>
  <c r="D135" i="10"/>
  <c r="C135" i="10"/>
  <c r="D23" i="9"/>
  <c r="C23" i="9"/>
  <c r="D38" i="9"/>
  <c r="D50" i="9"/>
  <c r="C50" i="9"/>
  <c r="C8" i="6"/>
  <c r="D37" i="6"/>
  <c r="D56" i="10"/>
  <c r="D27" i="9"/>
  <c r="C27" i="9"/>
  <c r="H19" i="10"/>
  <c r="C19" i="10"/>
  <c r="D140" i="9"/>
  <c r="C140" i="9"/>
  <c r="D36" i="10"/>
  <c r="C36" i="10"/>
  <c r="D88" i="10"/>
  <c r="C88" i="10"/>
  <c r="L70" i="9"/>
  <c r="D70" i="9" s="1"/>
  <c r="C70" i="9"/>
  <c r="D99" i="9"/>
  <c r="C99" i="9"/>
  <c r="D161" i="11"/>
  <c r="D39" i="9"/>
  <c r="C39" i="9"/>
  <c r="C166" i="5"/>
  <c r="D19" i="6"/>
  <c r="C19" i="6"/>
  <c r="D51" i="6"/>
  <c r="D57" i="6"/>
  <c r="D66" i="6"/>
  <c r="D84" i="6"/>
  <c r="D96" i="6"/>
  <c r="C68" i="11"/>
  <c r="C103" i="11"/>
  <c r="C96" i="11"/>
  <c r="C97" i="11"/>
  <c r="C39" i="11"/>
  <c r="D21" i="10"/>
  <c r="C21" i="10"/>
  <c r="C94" i="10"/>
  <c r="D24" i="9"/>
  <c r="C24" i="9"/>
  <c r="C86" i="9"/>
  <c r="D161" i="9"/>
  <c r="C161" i="9"/>
  <c r="M168" i="10"/>
  <c r="D90" i="10"/>
  <c r="C90" i="10"/>
  <c r="D91" i="10"/>
  <c r="C91" i="10"/>
  <c r="D120" i="10"/>
  <c r="C120" i="10"/>
  <c r="D137" i="10"/>
  <c r="C137" i="10"/>
  <c r="D151" i="10"/>
  <c r="C151" i="10"/>
  <c r="C26" i="9"/>
  <c r="N168" i="10"/>
  <c r="D26" i="10"/>
  <c r="C26" i="10"/>
  <c r="D98" i="10"/>
  <c r="C98" i="10"/>
  <c r="C44" i="9"/>
  <c r="C91" i="9"/>
  <c r="D100" i="9"/>
  <c r="C100" i="9"/>
  <c r="D141" i="9"/>
  <c r="C141" i="9"/>
  <c r="D23" i="6"/>
  <c r="D38" i="6"/>
  <c r="D44" i="6"/>
  <c r="C168" i="17"/>
  <c r="C19" i="11"/>
  <c r="C47" i="11"/>
  <c r="D104" i="11"/>
  <c r="C35" i="11"/>
  <c r="D30" i="11"/>
  <c r="C37" i="11"/>
  <c r="D44" i="11"/>
  <c r="L68" i="11"/>
  <c r="L73" i="11" s="1"/>
  <c r="C80" i="11"/>
  <c r="H56" i="9"/>
  <c r="D56" i="9" s="1"/>
  <c r="D39" i="11"/>
  <c r="C45" i="11"/>
  <c r="K133" i="10"/>
  <c r="D22" i="6"/>
  <c r="C89" i="11"/>
  <c r="C73" i="5"/>
  <c r="D165" i="11"/>
  <c r="C26" i="11"/>
  <c r="D111" i="11"/>
  <c r="C77" i="5"/>
  <c r="D83" i="6"/>
  <c r="D14" i="6"/>
  <c r="D94" i="6"/>
  <c r="C133" i="5"/>
  <c r="D8" i="9"/>
  <c r="D44" i="9"/>
  <c r="D90" i="9"/>
  <c r="D14" i="10"/>
  <c r="D30" i="10"/>
  <c r="D37" i="10"/>
  <c r="D53" i="10"/>
  <c r="D83" i="10"/>
  <c r="D87" i="10"/>
  <c r="D95" i="10"/>
  <c r="D111" i="10"/>
  <c r="D97" i="10"/>
  <c r="D103" i="10"/>
  <c r="D117" i="10"/>
  <c r="D136" i="10"/>
  <c r="D138" i="10"/>
  <c r="D140" i="10"/>
  <c r="D149" i="10"/>
  <c r="D165" i="10"/>
  <c r="D8" i="10"/>
  <c r="D9" i="10"/>
  <c r="D16" i="10"/>
  <c r="D39" i="10"/>
  <c r="D46" i="10"/>
  <c r="D52" i="10"/>
  <c r="D82" i="10"/>
  <c r="D80" i="10"/>
  <c r="D89" i="10"/>
  <c r="D99" i="10"/>
  <c r="G133" i="10"/>
  <c r="D20" i="10"/>
  <c r="H70" i="10"/>
  <c r="D106" i="10"/>
  <c r="D122" i="10"/>
  <c r="D119" i="10"/>
  <c r="D145" i="10"/>
  <c r="L70" i="10"/>
  <c r="L73" i="10" s="1"/>
  <c r="D97" i="11"/>
  <c r="D102" i="11"/>
  <c r="D135" i="11"/>
  <c r="D148" i="11"/>
  <c r="C76" i="11"/>
  <c r="D85" i="11"/>
  <c r="D95" i="11"/>
  <c r="D84" i="11"/>
  <c r="D88" i="11"/>
  <c r="D94" i="11"/>
  <c r="H76" i="11"/>
  <c r="H77" i="11" s="1"/>
  <c r="C83" i="11"/>
  <c r="D54" i="20" l="1"/>
  <c r="C54" i="20"/>
  <c r="D132" i="9"/>
  <c r="D133" i="9" s="1"/>
  <c r="K168" i="11"/>
  <c r="D31" i="10"/>
  <c r="D12" i="10"/>
  <c r="D168" i="5"/>
  <c r="D12" i="9"/>
  <c r="C12" i="6"/>
  <c r="C60" i="9"/>
  <c r="D53" i="11"/>
  <c r="H60" i="11"/>
  <c r="H60" i="9"/>
  <c r="C60" i="11"/>
  <c r="C60" i="10"/>
  <c r="D92" i="6"/>
  <c r="E168" i="9"/>
  <c r="G168" i="9"/>
  <c r="C12" i="9"/>
  <c r="H48" i="9"/>
  <c r="D133" i="11"/>
  <c r="K168" i="9"/>
  <c r="D62" i="10"/>
  <c r="H73" i="10"/>
  <c r="E168" i="11"/>
  <c r="D133" i="6"/>
  <c r="C48" i="6"/>
  <c r="C168" i="6" s="1"/>
  <c r="F168" i="9"/>
  <c r="E168" i="6"/>
  <c r="D166" i="11"/>
  <c r="D168" i="7"/>
  <c r="D52" i="9"/>
  <c r="F168" i="11"/>
  <c r="G168" i="11"/>
  <c r="D33" i="6"/>
  <c r="H48" i="6"/>
  <c r="H168" i="6" s="1"/>
  <c r="D26" i="9"/>
  <c r="D19" i="10"/>
  <c r="H48" i="10"/>
  <c r="C166" i="10"/>
  <c r="D66" i="9"/>
  <c r="D73" i="9" s="1"/>
  <c r="H48" i="11"/>
  <c r="D166" i="10"/>
  <c r="L73" i="9"/>
  <c r="L168" i="9" s="1"/>
  <c r="L48" i="11"/>
  <c r="C133" i="11"/>
  <c r="F168" i="6"/>
  <c r="C92" i="9"/>
  <c r="C92" i="10"/>
  <c r="C92" i="11"/>
  <c r="D50" i="11"/>
  <c r="D60" i="6"/>
  <c r="D51" i="9"/>
  <c r="D56" i="20"/>
  <c r="C73" i="10"/>
  <c r="C16" i="20"/>
  <c r="F168" i="10"/>
  <c r="D70" i="10"/>
  <c r="C73" i="11"/>
  <c r="C166" i="11"/>
  <c r="D86" i="10"/>
  <c r="D92" i="10" s="1"/>
  <c r="E168" i="10"/>
  <c r="C77" i="11"/>
  <c r="C168" i="5"/>
  <c r="C133" i="9"/>
  <c r="C48" i="10"/>
  <c r="C73" i="9"/>
  <c r="K168" i="10"/>
  <c r="D135" i="9"/>
  <c r="D166" i="9" s="1"/>
  <c r="C48" i="11"/>
  <c r="D86" i="9"/>
  <c r="D37" i="9"/>
  <c r="G168" i="10"/>
  <c r="D51" i="10"/>
  <c r="D60" i="10" s="1"/>
  <c r="D68" i="11"/>
  <c r="D73" i="11" s="1"/>
  <c r="C133" i="10"/>
  <c r="D21" i="6"/>
  <c r="D94" i="10"/>
  <c r="D133" i="10" s="1"/>
  <c r="C166" i="9"/>
  <c r="D91" i="9"/>
  <c r="C77" i="10"/>
  <c r="D8" i="6"/>
  <c r="D12" i="6" s="1"/>
  <c r="C48" i="9"/>
  <c r="D168" i="17"/>
  <c r="D62" i="6"/>
  <c r="D73" i="6" s="1"/>
  <c r="H133" i="10"/>
  <c r="L133" i="10"/>
  <c r="D76" i="11"/>
  <c r="D77" i="11" s="1"/>
  <c r="D14" i="11"/>
  <c r="D48" i="11" s="1"/>
  <c r="D83" i="11"/>
  <c r="D92" i="11" s="1"/>
  <c r="D48" i="10" l="1"/>
  <c r="D60" i="11"/>
  <c r="H168" i="11"/>
  <c r="H168" i="9"/>
  <c r="D92" i="9"/>
  <c r="D60" i="9"/>
  <c r="D48" i="9"/>
  <c r="D168" i="9" s="1"/>
  <c r="D48" i="6"/>
  <c r="D168" i="6" s="1"/>
  <c r="L168" i="11"/>
  <c r="D73" i="10"/>
  <c r="D168" i="10" s="1"/>
  <c r="D168" i="11"/>
  <c r="C168" i="11"/>
  <c r="C168" i="10"/>
  <c r="C168" i="9"/>
  <c r="H168" i="10"/>
  <c r="C138" i="8" l="1"/>
  <c r="F135" i="8"/>
  <c r="F166" i="8" s="1"/>
  <c r="E135" i="8"/>
  <c r="E166" i="8" s="1"/>
  <c r="D135" i="8"/>
  <c r="D166" i="8" s="1"/>
  <c r="C135" i="8"/>
  <c r="F94" i="8"/>
  <c r="F133" i="8" s="1"/>
  <c r="E94" i="8"/>
  <c r="E133" i="8" s="1"/>
  <c r="D94" i="8"/>
  <c r="D133" i="8" s="1"/>
  <c r="C94" i="8"/>
  <c r="C133" i="8" s="1"/>
  <c r="F83" i="8"/>
  <c r="F92" i="8" s="1"/>
  <c r="E83" i="8"/>
  <c r="E92" i="8" s="1"/>
  <c r="D83" i="8"/>
  <c r="D92" i="8" s="1"/>
  <c r="C83" i="8"/>
  <c r="C92" i="8" s="1"/>
  <c r="C77" i="8"/>
  <c r="F62" i="8"/>
  <c r="F73" i="8" s="1"/>
  <c r="E62" i="8"/>
  <c r="E73" i="8" s="1"/>
  <c r="D62" i="8"/>
  <c r="D73" i="8" s="1"/>
  <c r="C62" i="8"/>
  <c r="C73" i="8" s="1"/>
  <c r="F50" i="8"/>
  <c r="F60" i="8" s="1"/>
  <c r="E50" i="8"/>
  <c r="E60" i="8" s="1"/>
  <c r="D50" i="8"/>
  <c r="D60" i="8" s="1"/>
  <c r="C50" i="8"/>
  <c r="C60" i="8" s="1"/>
  <c r="F47" i="8"/>
  <c r="E47" i="8"/>
  <c r="D47" i="8"/>
  <c r="C47" i="8"/>
  <c r="F46" i="8"/>
  <c r="E46" i="8"/>
  <c r="D46" i="8"/>
  <c r="C46" i="8"/>
  <c r="F45" i="8"/>
  <c r="E45" i="8"/>
  <c r="F44" i="8"/>
  <c r="E44" i="8"/>
  <c r="D44" i="8"/>
  <c r="C44" i="8"/>
  <c r="F43" i="8"/>
  <c r="E43" i="8"/>
  <c r="D43" i="8"/>
  <c r="C43" i="8"/>
  <c r="F42" i="8"/>
  <c r="E42" i="8"/>
  <c r="D42" i="8"/>
  <c r="C42" i="8"/>
  <c r="F41" i="8"/>
  <c r="E41" i="8"/>
  <c r="D41" i="8"/>
  <c r="C41" i="8"/>
  <c r="C40" i="8"/>
  <c r="F40" i="8"/>
  <c r="E40" i="8"/>
  <c r="F39" i="8"/>
  <c r="E39" i="8"/>
  <c r="D39" i="8"/>
  <c r="C39" i="8"/>
  <c r="F38" i="8"/>
  <c r="E38" i="8"/>
  <c r="D38" i="8"/>
  <c r="C38" i="8"/>
  <c r="F37" i="8"/>
  <c r="E37" i="8"/>
  <c r="D37" i="8"/>
  <c r="C37" i="8"/>
  <c r="F36" i="8"/>
  <c r="E36" i="8"/>
  <c r="D36" i="8"/>
  <c r="C36" i="8"/>
  <c r="F35" i="8"/>
  <c r="E35" i="8"/>
  <c r="D35" i="8"/>
  <c r="C35" i="8"/>
  <c r="F34" i="8"/>
  <c r="E34" i="8"/>
  <c r="D34" i="8"/>
  <c r="C34" i="8"/>
  <c r="F33" i="8"/>
  <c r="E33" i="8"/>
  <c r="D33" i="8"/>
  <c r="C33" i="8"/>
  <c r="F32" i="8"/>
  <c r="E32" i="8"/>
  <c r="D32" i="8"/>
  <c r="C32" i="8"/>
  <c r="F31" i="8"/>
  <c r="E31" i="8"/>
  <c r="D31" i="8"/>
  <c r="C31" i="8"/>
  <c r="F30" i="8"/>
  <c r="E30" i="8"/>
  <c r="D30" i="8"/>
  <c r="C30" i="8"/>
  <c r="F29" i="8"/>
  <c r="E29" i="8"/>
  <c r="D29" i="8"/>
  <c r="C29" i="8"/>
  <c r="F28" i="8"/>
  <c r="E28" i="8"/>
  <c r="D28" i="8"/>
  <c r="C28" i="8"/>
  <c r="F27" i="8"/>
  <c r="E27" i="8"/>
  <c r="D27" i="8"/>
  <c r="C27" i="8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F21" i="8"/>
  <c r="E21" i="8"/>
  <c r="D21" i="8"/>
  <c r="C21" i="8"/>
  <c r="F20" i="8"/>
  <c r="E20" i="8"/>
  <c r="D20" i="8"/>
  <c r="C20" i="8"/>
  <c r="F19" i="8"/>
  <c r="E19" i="8"/>
  <c r="F18" i="8"/>
  <c r="E18" i="8"/>
  <c r="F17" i="8"/>
  <c r="E17" i="8"/>
  <c r="F15" i="8"/>
  <c r="E15" i="8"/>
  <c r="D15" i="8"/>
  <c r="C15" i="8"/>
  <c r="F14" i="8"/>
  <c r="E14" i="8"/>
  <c r="D14" i="8"/>
  <c r="C14" i="8"/>
  <c r="F10" i="8"/>
  <c r="F10" i="20" s="1"/>
  <c r="E10" i="8"/>
  <c r="E10" i="20" s="1"/>
  <c r="D10" i="8"/>
  <c r="C10" i="8"/>
  <c r="C9" i="8"/>
  <c r="F8" i="8"/>
  <c r="E8" i="8"/>
  <c r="D8" i="8"/>
  <c r="C8" i="8"/>
  <c r="F7" i="8"/>
  <c r="E7" i="8"/>
  <c r="D7" i="8"/>
  <c r="C7" i="8"/>
  <c r="C10" i="20" l="1"/>
  <c r="D10" i="20"/>
  <c r="F12" i="8"/>
  <c r="E48" i="8"/>
  <c r="C12" i="8"/>
  <c r="D12" i="8"/>
  <c r="F48" i="8"/>
  <c r="F168" i="8" s="1"/>
  <c r="E12" i="8"/>
  <c r="C166" i="8"/>
  <c r="C45" i="8"/>
  <c r="C48" i="8" s="1"/>
  <c r="D40" i="8"/>
  <c r="D45" i="8"/>
  <c r="E168" i="8" l="1"/>
  <c r="C168" i="8"/>
  <c r="Q77" i="16"/>
  <c r="P77" i="16"/>
  <c r="O77" i="16"/>
  <c r="L77" i="16"/>
  <c r="K77" i="16"/>
  <c r="H77" i="16"/>
  <c r="G77" i="16"/>
  <c r="R48" i="16"/>
  <c r="O48" i="16"/>
  <c r="K73" i="15" l="1"/>
  <c r="L73" i="15"/>
  <c r="C11" i="16" l="1"/>
  <c r="F11" i="16"/>
  <c r="F11" i="20" s="1"/>
  <c r="E11" i="16"/>
  <c r="E11" i="20" s="1"/>
  <c r="D11" i="16"/>
  <c r="F51" i="16"/>
  <c r="F52" i="16"/>
  <c r="F53" i="16"/>
  <c r="F57" i="16"/>
  <c r="F50" i="16"/>
  <c r="E51" i="16"/>
  <c r="E52" i="16"/>
  <c r="E53" i="16"/>
  <c r="E57" i="16"/>
  <c r="E50" i="16"/>
  <c r="D51" i="16"/>
  <c r="D52" i="16"/>
  <c r="D53" i="16"/>
  <c r="D57" i="16"/>
  <c r="D50" i="16"/>
  <c r="C51" i="16"/>
  <c r="C52" i="16"/>
  <c r="C53" i="16"/>
  <c r="C57" i="16"/>
  <c r="C50" i="16"/>
  <c r="F15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14" i="16"/>
  <c r="E15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14" i="16"/>
  <c r="D47" i="16"/>
  <c r="D46" i="16"/>
  <c r="D45" i="16"/>
  <c r="D39" i="16"/>
  <c r="D40" i="16"/>
  <c r="D41" i="16"/>
  <c r="D42" i="16"/>
  <c r="D43" i="16"/>
  <c r="D44" i="16"/>
  <c r="D37" i="16"/>
  <c r="D38" i="16"/>
  <c r="D32" i="16"/>
  <c r="D33" i="16"/>
  <c r="D34" i="16"/>
  <c r="D35" i="16"/>
  <c r="D36" i="16"/>
  <c r="D29" i="16"/>
  <c r="D30" i="16"/>
  <c r="D31" i="16"/>
  <c r="D28" i="16"/>
  <c r="D27" i="16"/>
  <c r="D25" i="16"/>
  <c r="D26" i="16"/>
  <c r="D24" i="16"/>
  <c r="D17" i="16"/>
  <c r="D18" i="16"/>
  <c r="D19" i="16"/>
  <c r="D20" i="16"/>
  <c r="D21" i="16"/>
  <c r="D22" i="16"/>
  <c r="D23" i="16"/>
  <c r="D15" i="16"/>
  <c r="C47" i="16"/>
  <c r="C46" i="16"/>
  <c r="C45" i="16"/>
  <c r="C39" i="16"/>
  <c r="C40" i="16"/>
  <c r="C41" i="16"/>
  <c r="C42" i="16"/>
  <c r="C43" i="16"/>
  <c r="C44" i="16"/>
  <c r="C37" i="16"/>
  <c r="C38" i="16"/>
  <c r="C32" i="16"/>
  <c r="C33" i="16"/>
  <c r="C34" i="16"/>
  <c r="C35" i="16"/>
  <c r="C36" i="16"/>
  <c r="C29" i="16"/>
  <c r="C30" i="16"/>
  <c r="C31" i="16"/>
  <c r="C28" i="16"/>
  <c r="C27" i="16"/>
  <c r="C25" i="16"/>
  <c r="C26" i="16"/>
  <c r="C24" i="16"/>
  <c r="C18" i="16"/>
  <c r="C19" i="16"/>
  <c r="C20" i="16"/>
  <c r="C21" i="16"/>
  <c r="C22" i="16"/>
  <c r="C23" i="16"/>
  <c r="C15" i="16"/>
  <c r="D62" i="16"/>
  <c r="C62" i="16"/>
  <c r="E62" i="16"/>
  <c r="F62" i="16"/>
  <c r="C63" i="16"/>
  <c r="D63" i="16"/>
  <c r="E63" i="16"/>
  <c r="F63" i="16"/>
  <c r="C64" i="16"/>
  <c r="D64" i="16"/>
  <c r="E64" i="16"/>
  <c r="F64" i="16"/>
  <c r="C65" i="16"/>
  <c r="D65" i="16"/>
  <c r="E65" i="16"/>
  <c r="F65" i="16"/>
  <c r="C66" i="16"/>
  <c r="D66" i="16"/>
  <c r="E66" i="16"/>
  <c r="F66" i="16"/>
  <c r="C67" i="16"/>
  <c r="D67" i="16"/>
  <c r="E67" i="16"/>
  <c r="F67" i="16"/>
  <c r="C68" i="16"/>
  <c r="D68" i="16"/>
  <c r="E68" i="16"/>
  <c r="F68" i="16"/>
  <c r="C69" i="16"/>
  <c r="D69" i="16"/>
  <c r="E69" i="16"/>
  <c r="F69" i="16"/>
  <c r="C70" i="16"/>
  <c r="D70" i="16"/>
  <c r="E70" i="16"/>
  <c r="F70" i="16"/>
  <c r="C71" i="16"/>
  <c r="D71" i="16"/>
  <c r="E71" i="16"/>
  <c r="F71" i="16"/>
  <c r="C72" i="16"/>
  <c r="D72" i="16"/>
  <c r="E72" i="16"/>
  <c r="F72" i="16"/>
  <c r="C83" i="16"/>
  <c r="D83" i="16"/>
  <c r="E83" i="16"/>
  <c r="F83" i="16"/>
  <c r="C90" i="16"/>
  <c r="D90" i="16"/>
  <c r="E90" i="16"/>
  <c r="F90" i="16"/>
  <c r="C82" i="16"/>
  <c r="D82" i="16"/>
  <c r="E82" i="16"/>
  <c r="F82" i="16"/>
  <c r="C79" i="16"/>
  <c r="D79" i="16"/>
  <c r="E79" i="16"/>
  <c r="F79" i="16"/>
  <c r="C80" i="16"/>
  <c r="D80" i="16"/>
  <c r="E80" i="16"/>
  <c r="F80" i="16"/>
  <c r="C87" i="16"/>
  <c r="D87" i="16"/>
  <c r="E87" i="16"/>
  <c r="F87" i="16"/>
  <c r="C85" i="16"/>
  <c r="D85" i="16"/>
  <c r="E85" i="16"/>
  <c r="F85" i="16"/>
  <c r="C86" i="16"/>
  <c r="D86" i="16"/>
  <c r="E86" i="16"/>
  <c r="F86" i="16"/>
  <c r="C84" i="16"/>
  <c r="D84" i="16"/>
  <c r="E84" i="16"/>
  <c r="F84" i="16"/>
  <c r="C89" i="16"/>
  <c r="D89" i="16"/>
  <c r="E89" i="16"/>
  <c r="F89" i="16"/>
  <c r="C88" i="16"/>
  <c r="D88" i="16"/>
  <c r="E88" i="16"/>
  <c r="F88" i="16"/>
  <c r="C91" i="16"/>
  <c r="D91" i="16"/>
  <c r="E91" i="16"/>
  <c r="F91" i="16"/>
  <c r="C94" i="16"/>
  <c r="D94" i="16"/>
  <c r="E94" i="16"/>
  <c r="F94" i="16"/>
  <c r="C105" i="16"/>
  <c r="D105" i="16"/>
  <c r="E105" i="16"/>
  <c r="F105" i="16"/>
  <c r="C106" i="16"/>
  <c r="D106" i="16"/>
  <c r="E106" i="16"/>
  <c r="F106" i="16"/>
  <c r="C95" i="16"/>
  <c r="D95" i="16"/>
  <c r="E95" i="16"/>
  <c r="F95" i="16"/>
  <c r="C107" i="16"/>
  <c r="D107" i="16"/>
  <c r="E107" i="16"/>
  <c r="F107" i="16"/>
  <c r="C108" i="16"/>
  <c r="D108" i="16"/>
  <c r="E108" i="16"/>
  <c r="F108" i="16"/>
  <c r="C109" i="16"/>
  <c r="D109" i="16"/>
  <c r="E109" i="16"/>
  <c r="F109" i="16"/>
  <c r="D104" i="16"/>
  <c r="E104" i="16"/>
  <c r="F104" i="16"/>
  <c r="C96" i="16"/>
  <c r="D96" i="16"/>
  <c r="E96" i="16"/>
  <c r="F96" i="16"/>
  <c r="C111" i="16"/>
  <c r="D111" i="16"/>
  <c r="E111" i="16"/>
  <c r="F111" i="16"/>
  <c r="C124" i="16"/>
  <c r="D124" i="16"/>
  <c r="E124" i="16"/>
  <c r="F124" i="16"/>
  <c r="C110" i="16"/>
  <c r="D110" i="16"/>
  <c r="E110" i="16"/>
  <c r="F110" i="16"/>
  <c r="C112" i="16"/>
  <c r="D112" i="16"/>
  <c r="E112" i="16"/>
  <c r="F112" i="16"/>
  <c r="C113" i="16"/>
  <c r="D113" i="16"/>
  <c r="E113" i="16"/>
  <c r="F113" i="16"/>
  <c r="C114" i="16"/>
  <c r="D114" i="16"/>
  <c r="E114" i="16"/>
  <c r="F114" i="16"/>
  <c r="C97" i="16"/>
  <c r="D97" i="16"/>
  <c r="E97" i="16"/>
  <c r="F97" i="16"/>
  <c r="C98" i="16"/>
  <c r="D98" i="16"/>
  <c r="E98" i="16"/>
  <c r="F98" i="16"/>
  <c r="C99" i="16"/>
  <c r="D99" i="16"/>
  <c r="E99" i="16"/>
  <c r="F99" i="16"/>
  <c r="C100" i="16"/>
  <c r="D100" i="16"/>
  <c r="E100" i="16"/>
  <c r="F100" i="16"/>
  <c r="D102" i="16"/>
  <c r="E102" i="16"/>
  <c r="F102" i="16"/>
  <c r="C103" i="16"/>
  <c r="D103" i="16"/>
  <c r="E103" i="16"/>
  <c r="F103" i="16"/>
  <c r="C129" i="16"/>
  <c r="D129" i="16"/>
  <c r="E129" i="16"/>
  <c r="F129" i="16"/>
  <c r="C130" i="16"/>
  <c r="D130" i="16"/>
  <c r="E130" i="16"/>
  <c r="F130" i="16"/>
  <c r="C131" i="16"/>
  <c r="D131" i="16"/>
  <c r="E131" i="16"/>
  <c r="F131" i="16"/>
  <c r="C117" i="16"/>
  <c r="D117" i="16"/>
  <c r="E117" i="16"/>
  <c r="F117" i="16"/>
  <c r="C118" i="16"/>
  <c r="D118" i="16"/>
  <c r="E118" i="16"/>
  <c r="F118" i="16"/>
  <c r="C123" i="16"/>
  <c r="D123" i="16"/>
  <c r="E123" i="16"/>
  <c r="F123" i="16"/>
  <c r="C125" i="16"/>
  <c r="D125" i="16"/>
  <c r="E125" i="16"/>
  <c r="F125" i="16"/>
  <c r="C122" i="16"/>
  <c r="D122" i="16"/>
  <c r="E122" i="16"/>
  <c r="F122" i="16"/>
  <c r="C120" i="16"/>
  <c r="D120" i="16"/>
  <c r="E120" i="16"/>
  <c r="F120" i="16"/>
  <c r="C119" i="16"/>
  <c r="D119" i="16"/>
  <c r="E119" i="16"/>
  <c r="F119" i="16"/>
  <c r="C121" i="16"/>
  <c r="D121" i="16"/>
  <c r="E121" i="16"/>
  <c r="F121" i="16"/>
  <c r="C132" i="16"/>
  <c r="D132" i="16"/>
  <c r="E132" i="16"/>
  <c r="F132" i="16"/>
  <c r="C135" i="16"/>
  <c r="D135" i="16"/>
  <c r="E135" i="16"/>
  <c r="F135" i="16"/>
  <c r="C136" i="16"/>
  <c r="D136" i="16"/>
  <c r="E136" i="16"/>
  <c r="F136" i="16"/>
  <c r="C137" i="16"/>
  <c r="D137" i="16"/>
  <c r="E137" i="16"/>
  <c r="F137" i="16"/>
  <c r="C138" i="16"/>
  <c r="D138" i="16"/>
  <c r="E138" i="16"/>
  <c r="F138" i="16"/>
  <c r="C139" i="16"/>
  <c r="D139" i="16"/>
  <c r="E139" i="16"/>
  <c r="F139" i="16"/>
  <c r="C140" i="16"/>
  <c r="D140" i="16"/>
  <c r="E140" i="16"/>
  <c r="F140" i="16"/>
  <c r="C141" i="16"/>
  <c r="D141" i="16"/>
  <c r="E141" i="16"/>
  <c r="F141" i="16"/>
  <c r="C149" i="16"/>
  <c r="D149" i="16"/>
  <c r="E149" i="16"/>
  <c r="F149" i="16"/>
  <c r="C142" i="16"/>
  <c r="D142" i="16"/>
  <c r="E142" i="16"/>
  <c r="F142" i="16"/>
  <c r="C145" i="16"/>
  <c r="D145" i="16"/>
  <c r="E145" i="16"/>
  <c r="F145" i="16"/>
  <c r="C146" i="16"/>
  <c r="D146" i="16"/>
  <c r="E146" i="16"/>
  <c r="F146" i="16"/>
  <c r="C147" i="16"/>
  <c r="D147" i="16"/>
  <c r="E147" i="16"/>
  <c r="F147" i="16"/>
  <c r="C148" i="16"/>
  <c r="D148" i="16"/>
  <c r="E148" i="16"/>
  <c r="F148" i="16"/>
  <c r="C164" i="16"/>
  <c r="D164" i="16"/>
  <c r="E164" i="16"/>
  <c r="F164" i="16"/>
  <c r="C165" i="16"/>
  <c r="D165" i="16"/>
  <c r="E165" i="16"/>
  <c r="F165" i="16"/>
  <c r="C150" i="16"/>
  <c r="D150" i="16"/>
  <c r="E150" i="16"/>
  <c r="F150" i="16"/>
  <c r="C151" i="16"/>
  <c r="D151" i="16"/>
  <c r="E151" i="16"/>
  <c r="F151" i="16"/>
  <c r="C153" i="16"/>
  <c r="D153" i="16"/>
  <c r="E153" i="16"/>
  <c r="F153" i="16"/>
  <c r="C154" i="16"/>
  <c r="D154" i="16"/>
  <c r="E154" i="16"/>
  <c r="F154" i="16"/>
  <c r="C156" i="16"/>
  <c r="D156" i="16"/>
  <c r="E156" i="16"/>
  <c r="F156" i="16"/>
  <c r="C158" i="16"/>
  <c r="D158" i="16"/>
  <c r="E158" i="16"/>
  <c r="F158" i="16"/>
  <c r="C159" i="16"/>
  <c r="D159" i="16"/>
  <c r="E159" i="16"/>
  <c r="F159" i="16"/>
  <c r="C160" i="16"/>
  <c r="D160" i="16"/>
  <c r="E160" i="16"/>
  <c r="F160" i="16"/>
  <c r="C161" i="16"/>
  <c r="D161" i="16"/>
  <c r="E161" i="16"/>
  <c r="F161" i="16"/>
  <c r="C162" i="16"/>
  <c r="D162" i="16"/>
  <c r="E162" i="16"/>
  <c r="F162" i="16"/>
  <c r="D11" i="20" l="1"/>
  <c r="C11" i="20"/>
  <c r="D60" i="16"/>
  <c r="F60" i="16"/>
  <c r="C60" i="16"/>
  <c r="E60" i="16"/>
  <c r="F92" i="16"/>
  <c r="E92" i="16"/>
  <c r="D92" i="16"/>
  <c r="C92" i="16"/>
  <c r="C73" i="16"/>
  <c r="E73" i="16"/>
  <c r="F77" i="16"/>
  <c r="E77" i="16"/>
  <c r="D77" i="16"/>
  <c r="E138" i="7" l="1"/>
  <c r="E166" i="7" s="1"/>
  <c r="F27" i="7"/>
  <c r="E27" i="7"/>
  <c r="F26" i="7" l="1"/>
  <c r="F48" i="7" s="1"/>
  <c r="E26" i="7"/>
  <c r="E48" i="7" s="1"/>
  <c r="F7" i="7" l="1"/>
  <c r="F12" i="7" s="1"/>
  <c r="E7" i="7"/>
  <c r="E12" i="7" s="1"/>
  <c r="E168" i="7" s="1"/>
  <c r="Q48" i="16" l="1"/>
  <c r="P48" i="16"/>
  <c r="L48" i="16"/>
  <c r="K48" i="16"/>
  <c r="H48" i="16"/>
  <c r="G48" i="16"/>
  <c r="F138" i="7" l="1"/>
  <c r="F166" i="7" s="1"/>
  <c r="F168" i="7" s="1"/>
  <c r="C18" i="15"/>
  <c r="C18" i="20" l="1"/>
  <c r="C7" i="7"/>
  <c r="F162" i="14"/>
  <c r="E162" i="14"/>
  <c r="D162" i="14"/>
  <c r="C162" i="14"/>
  <c r="F161" i="14"/>
  <c r="E161" i="14"/>
  <c r="D161" i="14"/>
  <c r="C161" i="14"/>
  <c r="F160" i="14"/>
  <c r="E160" i="14"/>
  <c r="D160" i="14"/>
  <c r="C160" i="14"/>
  <c r="F159" i="14"/>
  <c r="E159" i="14"/>
  <c r="D159" i="14"/>
  <c r="C159" i="14"/>
  <c r="F158" i="14"/>
  <c r="E158" i="14"/>
  <c r="D158" i="14"/>
  <c r="C158" i="14"/>
  <c r="F156" i="14"/>
  <c r="E156" i="14"/>
  <c r="D156" i="14"/>
  <c r="C156" i="14"/>
  <c r="F154" i="14"/>
  <c r="E154" i="14"/>
  <c r="D154" i="14"/>
  <c r="C154" i="14"/>
  <c r="F153" i="14"/>
  <c r="E153" i="14"/>
  <c r="D153" i="14"/>
  <c r="C153" i="14"/>
  <c r="F151" i="14"/>
  <c r="E151" i="14"/>
  <c r="D151" i="14"/>
  <c r="C151" i="14"/>
  <c r="F150" i="14"/>
  <c r="E150" i="14"/>
  <c r="D150" i="14"/>
  <c r="C150" i="14"/>
  <c r="F165" i="14"/>
  <c r="E165" i="14"/>
  <c r="D165" i="14"/>
  <c r="C165" i="14"/>
  <c r="F164" i="14"/>
  <c r="E164" i="14"/>
  <c r="D164" i="14"/>
  <c r="C164" i="14"/>
  <c r="F148" i="14"/>
  <c r="E148" i="14"/>
  <c r="D148" i="14"/>
  <c r="C148" i="14"/>
  <c r="F147" i="14"/>
  <c r="E147" i="14"/>
  <c r="D147" i="14"/>
  <c r="C147" i="14"/>
  <c r="F146" i="14"/>
  <c r="E146" i="14"/>
  <c r="D146" i="14"/>
  <c r="C146" i="14"/>
  <c r="F145" i="14"/>
  <c r="E145" i="14"/>
  <c r="D145" i="14"/>
  <c r="C145" i="14"/>
  <c r="F142" i="14"/>
  <c r="E142" i="14"/>
  <c r="D142" i="14"/>
  <c r="C142" i="14"/>
  <c r="F149" i="14"/>
  <c r="E149" i="14"/>
  <c r="D149" i="14"/>
  <c r="C149" i="14"/>
  <c r="F141" i="14"/>
  <c r="E141" i="14"/>
  <c r="D141" i="14"/>
  <c r="C141" i="14"/>
  <c r="F140" i="14"/>
  <c r="E140" i="14"/>
  <c r="D140" i="14"/>
  <c r="C140" i="14"/>
  <c r="F139" i="14"/>
  <c r="E139" i="14"/>
  <c r="D139" i="14"/>
  <c r="C139" i="14"/>
  <c r="F138" i="14"/>
  <c r="E138" i="14"/>
  <c r="D138" i="14"/>
  <c r="C138" i="14"/>
  <c r="F137" i="14"/>
  <c r="E137" i="14"/>
  <c r="D137" i="14"/>
  <c r="C137" i="14"/>
  <c r="F136" i="14"/>
  <c r="E136" i="14"/>
  <c r="D136" i="14"/>
  <c r="C136" i="14"/>
  <c r="F135" i="14"/>
  <c r="E135" i="14"/>
  <c r="D135" i="14"/>
  <c r="C135" i="14"/>
  <c r="F132" i="14"/>
  <c r="E132" i="14"/>
  <c r="D132" i="14"/>
  <c r="C132" i="14"/>
  <c r="F121" i="14"/>
  <c r="E121" i="14"/>
  <c r="D121" i="14"/>
  <c r="C121" i="14"/>
  <c r="F119" i="14"/>
  <c r="E119" i="14"/>
  <c r="D119" i="14"/>
  <c r="C119" i="14"/>
  <c r="F120" i="14"/>
  <c r="E120" i="14"/>
  <c r="D120" i="14"/>
  <c r="C120" i="14"/>
  <c r="F122" i="14"/>
  <c r="E122" i="14"/>
  <c r="D122" i="14"/>
  <c r="C122" i="14"/>
  <c r="F125" i="14"/>
  <c r="E125" i="14"/>
  <c r="D125" i="14"/>
  <c r="C125" i="14"/>
  <c r="F123" i="14"/>
  <c r="E123" i="14"/>
  <c r="D123" i="14"/>
  <c r="C123" i="14"/>
  <c r="F118" i="14"/>
  <c r="E118" i="14"/>
  <c r="D118" i="14"/>
  <c r="C118" i="14"/>
  <c r="F117" i="14"/>
  <c r="E117" i="14"/>
  <c r="D117" i="14"/>
  <c r="C117" i="14"/>
  <c r="F131" i="14"/>
  <c r="E131" i="14"/>
  <c r="D131" i="14"/>
  <c r="C131" i="14"/>
  <c r="F130" i="14"/>
  <c r="E130" i="14"/>
  <c r="D130" i="14"/>
  <c r="C130" i="14"/>
  <c r="F129" i="14"/>
  <c r="E129" i="14"/>
  <c r="D129" i="14"/>
  <c r="C129" i="14"/>
  <c r="F103" i="14"/>
  <c r="E103" i="14"/>
  <c r="D103" i="14"/>
  <c r="C103" i="14"/>
  <c r="F102" i="14"/>
  <c r="E102" i="14"/>
  <c r="D102" i="14"/>
  <c r="F100" i="14"/>
  <c r="E100" i="14"/>
  <c r="D100" i="14"/>
  <c r="C100" i="14"/>
  <c r="F99" i="14"/>
  <c r="E99" i="14"/>
  <c r="D99" i="14"/>
  <c r="C99" i="14"/>
  <c r="F98" i="14"/>
  <c r="E98" i="14"/>
  <c r="D98" i="14"/>
  <c r="C98" i="14"/>
  <c r="F97" i="14"/>
  <c r="E97" i="14"/>
  <c r="D97" i="14"/>
  <c r="C97" i="14"/>
  <c r="F114" i="14"/>
  <c r="E114" i="14"/>
  <c r="D114" i="14"/>
  <c r="C114" i="14"/>
  <c r="F113" i="14"/>
  <c r="E113" i="14"/>
  <c r="D113" i="14"/>
  <c r="C113" i="14"/>
  <c r="F112" i="14"/>
  <c r="E112" i="14"/>
  <c r="D112" i="14"/>
  <c r="C112" i="14"/>
  <c r="F110" i="14"/>
  <c r="E110" i="14"/>
  <c r="D110" i="14"/>
  <c r="C110" i="14"/>
  <c r="F124" i="14"/>
  <c r="E124" i="14"/>
  <c r="D124" i="14"/>
  <c r="C124" i="14"/>
  <c r="F111" i="14"/>
  <c r="E111" i="14"/>
  <c r="D111" i="14"/>
  <c r="C111" i="14"/>
  <c r="F96" i="14"/>
  <c r="E96" i="14"/>
  <c r="D96" i="14"/>
  <c r="C96" i="14"/>
  <c r="F104" i="14"/>
  <c r="E104" i="14"/>
  <c r="D104" i="14"/>
  <c r="F109" i="14"/>
  <c r="E109" i="14"/>
  <c r="D109" i="14"/>
  <c r="C109" i="14"/>
  <c r="F108" i="14"/>
  <c r="E108" i="14"/>
  <c r="D108" i="14"/>
  <c r="C108" i="14"/>
  <c r="F107" i="14"/>
  <c r="E107" i="14"/>
  <c r="D107" i="14"/>
  <c r="C107" i="14"/>
  <c r="F95" i="14"/>
  <c r="E95" i="14"/>
  <c r="D95" i="14"/>
  <c r="C95" i="14"/>
  <c r="F106" i="14"/>
  <c r="E106" i="14"/>
  <c r="D106" i="14"/>
  <c r="C106" i="14"/>
  <c r="F105" i="14"/>
  <c r="E105" i="14"/>
  <c r="D105" i="14"/>
  <c r="C105" i="14"/>
  <c r="F94" i="14"/>
  <c r="E94" i="14"/>
  <c r="D94" i="14"/>
  <c r="C94" i="14"/>
  <c r="F91" i="14"/>
  <c r="E91" i="14"/>
  <c r="D91" i="14"/>
  <c r="C91" i="14"/>
  <c r="F88" i="14"/>
  <c r="E88" i="14"/>
  <c r="D88" i="14"/>
  <c r="C88" i="14"/>
  <c r="F89" i="14"/>
  <c r="E89" i="14"/>
  <c r="D89" i="14"/>
  <c r="C89" i="14"/>
  <c r="F84" i="14"/>
  <c r="E84" i="14"/>
  <c r="D84" i="14"/>
  <c r="C84" i="14"/>
  <c r="F86" i="14"/>
  <c r="E86" i="14"/>
  <c r="D86" i="14"/>
  <c r="C86" i="14"/>
  <c r="F85" i="14"/>
  <c r="E85" i="14"/>
  <c r="D85" i="14"/>
  <c r="C85" i="14"/>
  <c r="F87" i="14"/>
  <c r="E87" i="14"/>
  <c r="D87" i="14"/>
  <c r="C87" i="14"/>
  <c r="F80" i="14"/>
  <c r="E80" i="14"/>
  <c r="D80" i="14"/>
  <c r="C80" i="14"/>
  <c r="F79" i="14"/>
  <c r="E79" i="14"/>
  <c r="D79" i="14"/>
  <c r="C79" i="14"/>
  <c r="F82" i="14"/>
  <c r="E82" i="14"/>
  <c r="D82" i="14"/>
  <c r="C82" i="14"/>
  <c r="F90" i="14"/>
  <c r="E90" i="14"/>
  <c r="D90" i="14"/>
  <c r="C90" i="14"/>
  <c r="F83" i="14"/>
  <c r="E83" i="14"/>
  <c r="D83" i="14"/>
  <c r="C83" i="14"/>
  <c r="F76" i="14"/>
  <c r="E76" i="14"/>
  <c r="D76" i="14"/>
  <c r="C76" i="14"/>
  <c r="F75" i="14"/>
  <c r="E75" i="14"/>
  <c r="D75" i="14"/>
  <c r="C75" i="14"/>
  <c r="F72" i="14"/>
  <c r="E72" i="14"/>
  <c r="D72" i="14"/>
  <c r="C72" i="14"/>
  <c r="F71" i="14"/>
  <c r="E71" i="14"/>
  <c r="D71" i="14"/>
  <c r="C71" i="14"/>
  <c r="F70" i="14"/>
  <c r="E70" i="14"/>
  <c r="D70" i="14"/>
  <c r="C70" i="14"/>
  <c r="F69" i="14"/>
  <c r="E69" i="14"/>
  <c r="D69" i="14"/>
  <c r="C69" i="14"/>
  <c r="F68" i="14"/>
  <c r="E68" i="14"/>
  <c r="D68" i="14"/>
  <c r="C68" i="14"/>
  <c r="F67" i="14"/>
  <c r="E67" i="14"/>
  <c r="D67" i="14"/>
  <c r="C67" i="14"/>
  <c r="F66" i="14"/>
  <c r="E66" i="14"/>
  <c r="D66" i="14"/>
  <c r="C66" i="14"/>
  <c r="F65" i="14"/>
  <c r="E65" i="14"/>
  <c r="D65" i="14"/>
  <c r="C65" i="14"/>
  <c r="F64" i="14"/>
  <c r="E64" i="14"/>
  <c r="D64" i="14"/>
  <c r="C64" i="14"/>
  <c r="F63" i="14"/>
  <c r="E63" i="14"/>
  <c r="D63" i="14"/>
  <c r="C63" i="14"/>
  <c r="F62" i="14"/>
  <c r="E62" i="14"/>
  <c r="D62" i="14"/>
  <c r="C62" i="14"/>
  <c r="F57" i="14"/>
  <c r="E57" i="14"/>
  <c r="D57" i="14"/>
  <c r="C57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4" i="14"/>
  <c r="E44" i="14"/>
  <c r="D44" i="14"/>
  <c r="C44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9" i="14"/>
  <c r="E39" i="14"/>
  <c r="D39" i="14"/>
  <c r="C39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C22" i="14"/>
  <c r="F20" i="14"/>
  <c r="E20" i="14"/>
  <c r="D20" i="14"/>
  <c r="C20" i="14"/>
  <c r="F19" i="14"/>
  <c r="E19" i="14"/>
  <c r="F18" i="14"/>
  <c r="E18" i="14"/>
  <c r="F17" i="14"/>
  <c r="E17" i="14"/>
  <c r="D17" i="14"/>
  <c r="F16" i="14"/>
  <c r="E16" i="14"/>
  <c r="D16" i="14"/>
  <c r="F14" i="14"/>
  <c r="E14" i="14"/>
  <c r="F9" i="14"/>
  <c r="E9" i="14"/>
  <c r="D9" i="14"/>
  <c r="C9" i="14"/>
  <c r="F8" i="14"/>
  <c r="E8" i="14"/>
  <c r="D8" i="14"/>
  <c r="C8" i="14"/>
  <c r="F7" i="14"/>
  <c r="E7" i="14"/>
  <c r="D7" i="14"/>
  <c r="C7" i="14"/>
  <c r="C166" i="12"/>
  <c r="F77" i="12"/>
  <c r="E77" i="12"/>
  <c r="D77" i="12"/>
  <c r="C77" i="12"/>
  <c r="C73" i="12"/>
  <c r="C166" i="13"/>
  <c r="C133" i="13"/>
  <c r="F77" i="13"/>
  <c r="E77" i="13"/>
  <c r="D77" i="13"/>
  <c r="C77" i="13"/>
  <c r="F73" i="13"/>
  <c r="E73" i="13"/>
  <c r="D73" i="13"/>
  <c r="C73" i="13"/>
  <c r="R77" i="15"/>
  <c r="Q77" i="15"/>
  <c r="P77" i="15"/>
  <c r="O77" i="15"/>
  <c r="N77" i="15"/>
  <c r="M77" i="15"/>
  <c r="L77" i="15"/>
  <c r="K77" i="15"/>
  <c r="J77" i="15"/>
  <c r="I77" i="15"/>
  <c r="H77" i="15"/>
  <c r="G77" i="15"/>
  <c r="R73" i="15"/>
  <c r="Q73" i="15"/>
  <c r="P73" i="15"/>
  <c r="O73" i="15"/>
  <c r="N73" i="15"/>
  <c r="M73" i="15"/>
  <c r="J73" i="15"/>
  <c r="I73" i="15"/>
  <c r="H73" i="15"/>
  <c r="G73" i="15"/>
  <c r="F162" i="15"/>
  <c r="E162" i="15"/>
  <c r="E162" i="20" s="1"/>
  <c r="D162" i="15"/>
  <c r="C162" i="15"/>
  <c r="F161" i="15"/>
  <c r="E161" i="15"/>
  <c r="D161" i="15"/>
  <c r="C161" i="15"/>
  <c r="F160" i="15"/>
  <c r="E160" i="15"/>
  <c r="D160" i="15"/>
  <c r="C160" i="15"/>
  <c r="F159" i="15"/>
  <c r="E159" i="15"/>
  <c r="E159" i="20" s="1"/>
  <c r="D159" i="15"/>
  <c r="C159" i="15"/>
  <c r="F158" i="15"/>
  <c r="E158" i="15"/>
  <c r="D158" i="15"/>
  <c r="C158" i="15"/>
  <c r="F156" i="15"/>
  <c r="E156" i="15"/>
  <c r="D156" i="15"/>
  <c r="C156" i="15"/>
  <c r="F154" i="15"/>
  <c r="E154" i="15"/>
  <c r="D154" i="15"/>
  <c r="C154" i="15"/>
  <c r="F153" i="15"/>
  <c r="E153" i="15"/>
  <c r="D153" i="15"/>
  <c r="C153" i="15"/>
  <c r="F151" i="15"/>
  <c r="E151" i="15"/>
  <c r="D151" i="15"/>
  <c r="C151" i="15"/>
  <c r="F150" i="15"/>
  <c r="E150" i="15"/>
  <c r="D150" i="15"/>
  <c r="C150" i="15"/>
  <c r="F165" i="15"/>
  <c r="E165" i="15"/>
  <c r="D165" i="15"/>
  <c r="C165" i="15"/>
  <c r="F164" i="15"/>
  <c r="E164" i="15"/>
  <c r="D164" i="15"/>
  <c r="C164" i="15"/>
  <c r="F148" i="15"/>
  <c r="E148" i="15"/>
  <c r="D148" i="15"/>
  <c r="C148" i="15"/>
  <c r="F147" i="15"/>
  <c r="E147" i="15"/>
  <c r="D147" i="15"/>
  <c r="C147" i="15"/>
  <c r="F146" i="15"/>
  <c r="E146" i="15"/>
  <c r="D146" i="15"/>
  <c r="C146" i="15"/>
  <c r="F145" i="15"/>
  <c r="E145" i="15"/>
  <c r="D145" i="15"/>
  <c r="C145" i="15"/>
  <c r="F142" i="15"/>
  <c r="E142" i="15"/>
  <c r="D142" i="15"/>
  <c r="C142" i="15"/>
  <c r="F149" i="15"/>
  <c r="E149" i="15"/>
  <c r="D149" i="15"/>
  <c r="C149" i="15"/>
  <c r="F141" i="15"/>
  <c r="E141" i="15"/>
  <c r="D141" i="15"/>
  <c r="C141" i="15"/>
  <c r="F140" i="15"/>
  <c r="E140" i="15"/>
  <c r="D140" i="15"/>
  <c r="C140" i="15"/>
  <c r="F139" i="15"/>
  <c r="E139" i="15"/>
  <c r="D139" i="15"/>
  <c r="C139" i="15"/>
  <c r="F138" i="15"/>
  <c r="E138" i="15"/>
  <c r="C138" i="15"/>
  <c r="F137" i="15"/>
  <c r="E137" i="15"/>
  <c r="D137" i="15"/>
  <c r="C137" i="15"/>
  <c r="F136" i="15"/>
  <c r="E136" i="15"/>
  <c r="D136" i="15"/>
  <c r="C136" i="15"/>
  <c r="F135" i="15"/>
  <c r="E135" i="15"/>
  <c r="D135" i="15"/>
  <c r="C135" i="15"/>
  <c r="F132" i="15"/>
  <c r="E132" i="15"/>
  <c r="D132" i="15"/>
  <c r="C132" i="15"/>
  <c r="F121" i="15"/>
  <c r="E121" i="15"/>
  <c r="D121" i="15"/>
  <c r="C121" i="15"/>
  <c r="F119" i="15"/>
  <c r="E119" i="15"/>
  <c r="D119" i="15"/>
  <c r="C119" i="15"/>
  <c r="F120" i="15"/>
  <c r="E120" i="15"/>
  <c r="D120" i="15"/>
  <c r="C120" i="15"/>
  <c r="F122" i="15"/>
  <c r="F122" i="20" s="1"/>
  <c r="E122" i="15"/>
  <c r="D122" i="15"/>
  <c r="C122" i="15"/>
  <c r="F125" i="15"/>
  <c r="E125" i="15"/>
  <c r="D125" i="15"/>
  <c r="C125" i="15"/>
  <c r="F123" i="15"/>
  <c r="E123" i="15"/>
  <c r="D123" i="15"/>
  <c r="C123" i="15"/>
  <c r="F118" i="15"/>
  <c r="F118" i="20" s="1"/>
  <c r="E118" i="15"/>
  <c r="D118" i="15"/>
  <c r="C118" i="15"/>
  <c r="F117" i="15"/>
  <c r="E117" i="15"/>
  <c r="D117" i="15"/>
  <c r="C117" i="15"/>
  <c r="F131" i="15"/>
  <c r="E131" i="15"/>
  <c r="D131" i="15"/>
  <c r="C131" i="15"/>
  <c r="F130" i="15"/>
  <c r="F130" i="20" s="1"/>
  <c r="E130" i="15"/>
  <c r="D130" i="15"/>
  <c r="C130" i="15"/>
  <c r="F129" i="15"/>
  <c r="E129" i="15"/>
  <c r="D129" i="15"/>
  <c r="C129" i="15"/>
  <c r="F103" i="15"/>
  <c r="E103" i="15"/>
  <c r="D103" i="15"/>
  <c r="C103" i="15"/>
  <c r="F102" i="15"/>
  <c r="E102" i="15"/>
  <c r="D102" i="15"/>
  <c r="F100" i="15"/>
  <c r="F100" i="20" s="1"/>
  <c r="E100" i="15"/>
  <c r="D100" i="15"/>
  <c r="C100" i="15"/>
  <c r="F99" i="15"/>
  <c r="F99" i="20" s="1"/>
  <c r="E99" i="15"/>
  <c r="E99" i="20" s="1"/>
  <c r="D99" i="15"/>
  <c r="C99" i="15"/>
  <c r="F98" i="15"/>
  <c r="E98" i="15"/>
  <c r="D98" i="15"/>
  <c r="C98" i="15"/>
  <c r="F97" i="15"/>
  <c r="F97" i="20" s="1"/>
  <c r="E97" i="15"/>
  <c r="D97" i="15"/>
  <c r="C97" i="15"/>
  <c r="F114" i="15"/>
  <c r="E114" i="15"/>
  <c r="D114" i="15"/>
  <c r="C114" i="15"/>
  <c r="F113" i="15"/>
  <c r="E113" i="15"/>
  <c r="D113" i="15"/>
  <c r="C113" i="15"/>
  <c r="F112" i="15"/>
  <c r="E112" i="15"/>
  <c r="D112" i="15"/>
  <c r="C112" i="15"/>
  <c r="F110" i="15"/>
  <c r="F110" i="20" s="1"/>
  <c r="E110" i="15"/>
  <c r="D110" i="15"/>
  <c r="C110" i="15"/>
  <c r="F124" i="15"/>
  <c r="F124" i="20" s="1"/>
  <c r="E124" i="15"/>
  <c r="D124" i="15"/>
  <c r="C124" i="15"/>
  <c r="F111" i="15"/>
  <c r="F111" i="20" s="1"/>
  <c r="E111" i="15"/>
  <c r="D111" i="15"/>
  <c r="C111" i="15"/>
  <c r="F96" i="15"/>
  <c r="E96" i="15"/>
  <c r="D96" i="15"/>
  <c r="C96" i="15"/>
  <c r="F104" i="15"/>
  <c r="F104" i="20" s="1"/>
  <c r="E104" i="15"/>
  <c r="D104" i="15"/>
  <c r="F109" i="15"/>
  <c r="F109" i="20" s="1"/>
  <c r="E109" i="15"/>
  <c r="D109" i="15"/>
  <c r="C109" i="15"/>
  <c r="F108" i="15"/>
  <c r="E108" i="15"/>
  <c r="D108" i="15"/>
  <c r="C108" i="15"/>
  <c r="F107" i="15"/>
  <c r="E107" i="15"/>
  <c r="D107" i="15"/>
  <c r="C107" i="15"/>
  <c r="F95" i="15"/>
  <c r="F95" i="20" s="1"/>
  <c r="E95" i="15"/>
  <c r="E95" i="20" s="1"/>
  <c r="D95" i="15"/>
  <c r="C95" i="15"/>
  <c r="F106" i="15"/>
  <c r="E106" i="15"/>
  <c r="D106" i="15"/>
  <c r="C106" i="15"/>
  <c r="F105" i="15"/>
  <c r="E105" i="15"/>
  <c r="D105" i="15"/>
  <c r="C105" i="15"/>
  <c r="F94" i="15"/>
  <c r="E94" i="15"/>
  <c r="D94" i="15"/>
  <c r="C94" i="15"/>
  <c r="F91" i="15"/>
  <c r="E91" i="15"/>
  <c r="D91" i="15"/>
  <c r="C91" i="15"/>
  <c r="F88" i="15"/>
  <c r="E88" i="15"/>
  <c r="D88" i="15"/>
  <c r="C88" i="15"/>
  <c r="F89" i="15"/>
  <c r="E89" i="15"/>
  <c r="D89" i="15"/>
  <c r="C89" i="15"/>
  <c r="F84" i="15"/>
  <c r="E84" i="15"/>
  <c r="D84" i="15"/>
  <c r="C84" i="15"/>
  <c r="F86" i="15"/>
  <c r="E86" i="15"/>
  <c r="D86" i="15"/>
  <c r="C86" i="15"/>
  <c r="F85" i="15"/>
  <c r="E85" i="15"/>
  <c r="D85" i="15"/>
  <c r="C85" i="15"/>
  <c r="F87" i="15"/>
  <c r="E87" i="15"/>
  <c r="D87" i="15"/>
  <c r="C87" i="15"/>
  <c r="F80" i="15"/>
  <c r="E80" i="15"/>
  <c r="D80" i="15"/>
  <c r="C80" i="15"/>
  <c r="F79" i="15"/>
  <c r="E79" i="15"/>
  <c r="D79" i="15"/>
  <c r="C79" i="15"/>
  <c r="F82" i="15"/>
  <c r="E82" i="15"/>
  <c r="E82" i="20" s="1"/>
  <c r="D82" i="15"/>
  <c r="C82" i="15"/>
  <c r="F90" i="15"/>
  <c r="E90" i="15"/>
  <c r="D90" i="15"/>
  <c r="C90" i="15"/>
  <c r="F83" i="15"/>
  <c r="E83" i="15"/>
  <c r="D83" i="15"/>
  <c r="C83" i="15"/>
  <c r="F76" i="15"/>
  <c r="E76" i="15"/>
  <c r="E76" i="20" s="1"/>
  <c r="D76" i="15"/>
  <c r="C76" i="15"/>
  <c r="F75" i="15"/>
  <c r="E75" i="15"/>
  <c r="D75" i="15"/>
  <c r="C75" i="15"/>
  <c r="F72" i="15"/>
  <c r="E72" i="15"/>
  <c r="D72" i="15"/>
  <c r="C72" i="15"/>
  <c r="F71" i="15"/>
  <c r="E71" i="15"/>
  <c r="E71" i="20" s="1"/>
  <c r="D71" i="15"/>
  <c r="C71" i="15"/>
  <c r="F70" i="15"/>
  <c r="E70" i="15"/>
  <c r="D70" i="15"/>
  <c r="C70" i="15"/>
  <c r="F69" i="15"/>
  <c r="E69" i="15"/>
  <c r="D69" i="15"/>
  <c r="C69" i="15"/>
  <c r="F68" i="15"/>
  <c r="E68" i="15"/>
  <c r="E68" i="20" s="1"/>
  <c r="D68" i="15"/>
  <c r="C68" i="15"/>
  <c r="F67" i="15"/>
  <c r="E67" i="15"/>
  <c r="D67" i="15"/>
  <c r="C67" i="15"/>
  <c r="F66" i="15"/>
  <c r="E66" i="15"/>
  <c r="D66" i="15"/>
  <c r="C66" i="15"/>
  <c r="F65" i="15"/>
  <c r="E65" i="15"/>
  <c r="E65" i="20" s="1"/>
  <c r="D65" i="15"/>
  <c r="C65" i="15"/>
  <c r="F64" i="15"/>
  <c r="E64" i="15"/>
  <c r="D64" i="15"/>
  <c r="C64" i="15"/>
  <c r="F63" i="15"/>
  <c r="E63" i="15"/>
  <c r="D63" i="15"/>
  <c r="C63" i="15"/>
  <c r="F62" i="15"/>
  <c r="E62" i="15"/>
  <c r="E62" i="20" s="1"/>
  <c r="D62" i="15"/>
  <c r="C62" i="15"/>
  <c r="F57" i="15"/>
  <c r="E57" i="15"/>
  <c r="D57" i="15"/>
  <c r="C57" i="15"/>
  <c r="F53" i="15"/>
  <c r="E53" i="15"/>
  <c r="E53" i="20" s="1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7" i="15"/>
  <c r="E47" i="15"/>
  <c r="D47" i="15"/>
  <c r="C47" i="15"/>
  <c r="F46" i="15"/>
  <c r="E46" i="15"/>
  <c r="D46" i="15"/>
  <c r="C46" i="15"/>
  <c r="F45" i="15"/>
  <c r="E45" i="15"/>
  <c r="E45" i="20" s="1"/>
  <c r="D45" i="15"/>
  <c r="C45" i="15"/>
  <c r="F44" i="15"/>
  <c r="E44" i="15"/>
  <c r="D44" i="15"/>
  <c r="C44" i="15"/>
  <c r="F43" i="15"/>
  <c r="E43" i="15"/>
  <c r="D43" i="15"/>
  <c r="C43" i="15"/>
  <c r="F42" i="15"/>
  <c r="E42" i="15"/>
  <c r="E42" i="20" s="1"/>
  <c r="D42" i="15"/>
  <c r="C42" i="15"/>
  <c r="F41" i="15"/>
  <c r="E41" i="15"/>
  <c r="D41" i="15"/>
  <c r="C41" i="15"/>
  <c r="F40" i="15"/>
  <c r="E40" i="15"/>
  <c r="D40" i="15"/>
  <c r="C40" i="15"/>
  <c r="F39" i="15"/>
  <c r="E39" i="15"/>
  <c r="E39" i="20" s="1"/>
  <c r="D39" i="15"/>
  <c r="C39" i="15"/>
  <c r="F38" i="15"/>
  <c r="E38" i="15"/>
  <c r="D38" i="15"/>
  <c r="C38" i="15"/>
  <c r="F37" i="15"/>
  <c r="E37" i="15"/>
  <c r="D37" i="15"/>
  <c r="C37" i="15"/>
  <c r="F36" i="15"/>
  <c r="E36" i="15"/>
  <c r="E36" i="20" s="1"/>
  <c r="D36" i="15"/>
  <c r="C36" i="15"/>
  <c r="F35" i="15"/>
  <c r="E35" i="15"/>
  <c r="D35" i="15"/>
  <c r="C35" i="15"/>
  <c r="F34" i="15"/>
  <c r="E34" i="15"/>
  <c r="D34" i="15"/>
  <c r="C34" i="15"/>
  <c r="F33" i="15"/>
  <c r="E33" i="15"/>
  <c r="E33" i="20" s="1"/>
  <c r="D33" i="15"/>
  <c r="C33" i="15"/>
  <c r="F32" i="15"/>
  <c r="E32" i="15"/>
  <c r="D32" i="15"/>
  <c r="C32" i="15"/>
  <c r="F31" i="15"/>
  <c r="E31" i="15"/>
  <c r="D31" i="15"/>
  <c r="C31" i="15"/>
  <c r="F30" i="15"/>
  <c r="E30" i="15"/>
  <c r="E30" i="20" s="1"/>
  <c r="D30" i="15"/>
  <c r="C30" i="15"/>
  <c r="F29" i="15"/>
  <c r="E29" i="15"/>
  <c r="D29" i="15"/>
  <c r="C29" i="15"/>
  <c r="F28" i="15"/>
  <c r="E28" i="15"/>
  <c r="D28" i="15"/>
  <c r="C28" i="15"/>
  <c r="F27" i="15"/>
  <c r="E27" i="15"/>
  <c r="E27" i="20" s="1"/>
  <c r="D27" i="15"/>
  <c r="C27" i="15"/>
  <c r="F26" i="15"/>
  <c r="E26" i="15"/>
  <c r="D26" i="15"/>
  <c r="C26" i="15"/>
  <c r="F25" i="15"/>
  <c r="E25" i="15"/>
  <c r="D25" i="15"/>
  <c r="C25" i="15"/>
  <c r="F24" i="15"/>
  <c r="E24" i="15"/>
  <c r="E24" i="20" s="1"/>
  <c r="D24" i="15"/>
  <c r="C24" i="15"/>
  <c r="F23" i="15"/>
  <c r="E23" i="15"/>
  <c r="D23" i="15"/>
  <c r="C23" i="15"/>
  <c r="F22" i="15"/>
  <c r="F22" i="20" s="1"/>
  <c r="E22" i="15"/>
  <c r="E22" i="20" s="1"/>
  <c r="D22" i="15"/>
  <c r="C22" i="15"/>
  <c r="F21" i="15"/>
  <c r="F21" i="20" s="1"/>
  <c r="E21" i="15"/>
  <c r="E21" i="20" s="1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F17" i="15"/>
  <c r="E17" i="15"/>
  <c r="D17" i="15"/>
  <c r="F16" i="15"/>
  <c r="E16" i="15"/>
  <c r="D16" i="15"/>
  <c r="F15" i="15"/>
  <c r="F15" i="20" s="1"/>
  <c r="E15" i="15"/>
  <c r="E15" i="20" s="1"/>
  <c r="D15" i="15"/>
  <c r="C15" i="15"/>
  <c r="F14" i="15"/>
  <c r="E14" i="15"/>
  <c r="D14" i="15"/>
  <c r="C14" i="15"/>
  <c r="F9" i="15"/>
  <c r="E9" i="15"/>
  <c r="D9" i="15"/>
  <c r="C9" i="15"/>
  <c r="F8" i="15"/>
  <c r="E8" i="15"/>
  <c r="D8" i="15"/>
  <c r="C8" i="15"/>
  <c r="F7" i="15"/>
  <c r="E7" i="15"/>
  <c r="D7" i="15"/>
  <c r="C7" i="15"/>
  <c r="R166" i="16"/>
  <c r="Q166" i="16"/>
  <c r="G166" i="16"/>
  <c r="H166" i="16"/>
  <c r="R133" i="16"/>
  <c r="Q133" i="16"/>
  <c r="P133" i="16"/>
  <c r="O133" i="16"/>
  <c r="L133" i="16"/>
  <c r="K133" i="16"/>
  <c r="G133" i="16"/>
  <c r="R77" i="16"/>
  <c r="R73" i="16"/>
  <c r="Q73" i="16"/>
  <c r="P73" i="16"/>
  <c r="O73" i="16"/>
  <c r="L73" i="16"/>
  <c r="K73" i="16"/>
  <c r="G73" i="16"/>
  <c r="H73" i="16"/>
  <c r="F9" i="16"/>
  <c r="E9" i="16"/>
  <c r="D9" i="16"/>
  <c r="C9" i="16"/>
  <c r="F8" i="16"/>
  <c r="E8" i="16"/>
  <c r="D8" i="16"/>
  <c r="C8" i="16"/>
  <c r="F7" i="16"/>
  <c r="E7" i="16"/>
  <c r="D7" i="16"/>
  <c r="C7" i="16"/>
  <c r="F159" i="20" l="1"/>
  <c r="F162" i="20"/>
  <c r="D19" i="20"/>
  <c r="C140" i="20"/>
  <c r="C142" i="20"/>
  <c r="C147" i="20"/>
  <c r="C165" i="20"/>
  <c r="C132" i="20"/>
  <c r="C137" i="20"/>
  <c r="C150" i="20"/>
  <c r="C154" i="20"/>
  <c r="C159" i="20"/>
  <c r="C162" i="20"/>
  <c r="C129" i="20"/>
  <c r="C117" i="20"/>
  <c r="C125" i="20"/>
  <c r="C119" i="20"/>
  <c r="C131" i="20"/>
  <c r="C123" i="20"/>
  <c r="C21" i="20"/>
  <c r="D18" i="20"/>
  <c r="D21" i="20"/>
  <c r="C139" i="20"/>
  <c r="C149" i="20"/>
  <c r="C146" i="20"/>
  <c r="C164" i="20"/>
  <c r="C151" i="20"/>
  <c r="C156" i="20"/>
  <c r="C136" i="20"/>
  <c r="C15" i="20"/>
  <c r="C124" i="20"/>
  <c r="D136" i="20"/>
  <c r="D15" i="20"/>
  <c r="C19" i="20"/>
  <c r="F62" i="20"/>
  <c r="F65" i="20"/>
  <c r="F68" i="20"/>
  <c r="F76" i="20"/>
  <c r="F82" i="20"/>
  <c r="C112" i="20"/>
  <c r="D129" i="20"/>
  <c r="D131" i="20"/>
  <c r="D123" i="20"/>
  <c r="D120" i="20"/>
  <c r="F71" i="20"/>
  <c r="E88" i="20"/>
  <c r="F86" i="20"/>
  <c r="F88" i="20"/>
  <c r="E86" i="20"/>
  <c r="F77" i="14"/>
  <c r="D139" i="20"/>
  <c r="D149" i="20"/>
  <c r="D146" i="20"/>
  <c r="D164" i="20"/>
  <c r="D150" i="20"/>
  <c r="D154" i="20"/>
  <c r="D159" i="20"/>
  <c r="D162" i="20"/>
  <c r="F48" i="15"/>
  <c r="F60" i="15"/>
  <c r="E60" i="15"/>
  <c r="D141" i="20"/>
  <c r="D145" i="20"/>
  <c r="D148" i="20"/>
  <c r="D153" i="20"/>
  <c r="D158" i="20"/>
  <c r="D161" i="20"/>
  <c r="E77" i="14"/>
  <c r="E12" i="14"/>
  <c r="D60" i="14"/>
  <c r="D60" i="15"/>
  <c r="D77" i="14"/>
  <c r="D140" i="20"/>
  <c r="D142" i="20"/>
  <c r="D147" i="20"/>
  <c r="D165" i="20"/>
  <c r="D151" i="20"/>
  <c r="D156" i="20"/>
  <c r="C98" i="20"/>
  <c r="D102" i="20"/>
  <c r="D117" i="20"/>
  <c r="D125" i="20"/>
  <c r="D119" i="20"/>
  <c r="D132" i="20"/>
  <c r="D137" i="20"/>
  <c r="C12" i="14"/>
  <c r="C60" i="14"/>
  <c r="E60" i="14"/>
  <c r="F60" i="14"/>
  <c r="E92" i="15"/>
  <c r="C60" i="15"/>
  <c r="F92" i="14"/>
  <c r="D92" i="15"/>
  <c r="D133" i="14"/>
  <c r="F92" i="15"/>
  <c r="E156" i="20"/>
  <c r="E160" i="20"/>
  <c r="F133" i="14"/>
  <c r="D166" i="14"/>
  <c r="D12" i="15"/>
  <c r="D12" i="14"/>
  <c r="E166" i="14"/>
  <c r="C12" i="15"/>
  <c r="E12" i="15"/>
  <c r="D133" i="15"/>
  <c r="C141" i="20"/>
  <c r="C145" i="20"/>
  <c r="C148" i="20"/>
  <c r="C153" i="20"/>
  <c r="C158" i="20"/>
  <c r="C161" i="20"/>
  <c r="D73" i="14"/>
  <c r="F166" i="14"/>
  <c r="E26" i="20"/>
  <c r="E35" i="20"/>
  <c r="E44" i="20"/>
  <c r="E57" i="20"/>
  <c r="E133" i="15"/>
  <c r="F113" i="20"/>
  <c r="C103" i="20"/>
  <c r="C130" i="20"/>
  <c r="C122" i="20"/>
  <c r="C135" i="20"/>
  <c r="C138" i="20"/>
  <c r="F12" i="14"/>
  <c r="E73" i="14"/>
  <c r="E133" i="14"/>
  <c r="F12" i="15"/>
  <c r="E23" i="20"/>
  <c r="E32" i="20"/>
  <c r="E41" i="20"/>
  <c r="E52" i="20"/>
  <c r="C121" i="20"/>
  <c r="C14" i="20"/>
  <c r="C48" i="15"/>
  <c r="F133" i="15"/>
  <c r="D135" i="20"/>
  <c r="E48" i="14"/>
  <c r="F73" i="14"/>
  <c r="E29" i="20"/>
  <c r="E38" i="20"/>
  <c r="E47" i="20"/>
  <c r="D14" i="20"/>
  <c r="D48" i="15"/>
  <c r="F17" i="20"/>
  <c r="E166" i="15"/>
  <c r="F48" i="14"/>
  <c r="E48" i="15"/>
  <c r="F135" i="20"/>
  <c r="F166" i="15"/>
  <c r="D48" i="14"/>
  <c r="D92" i="14"/>
  <c r="E92" i="14"/>
  <c r="C12" i="7"/>
  <c r="C168" i="7" s="1"/>
  <c r="F156" i="20"/>
  <c r="F160" i="20"/>
  <c r="F138" i="20"/>
  <c r="F141" i="20"/>
  <c r="F147" i="20"/>
  <c r="F164" i="20"/>
  <c r="E118" i="20"/>
  <c r="E135" i="20"/>
  <c r="E138" i="20"/>
  <c r="E141" i="20"/>
  <c r="E147" i="20"/>
  <c r="E164" i="20"/>
  <c r="C160" i="20"/>
  <c r="D160" i="20"/>
  <c r="E104" i="20"/>
  <c r="E124" i="20"/>
  <c r="F129" i="20"/>
  <c r="F131" i="20"/>
  <c r="F123" i="20"/>
  <c r="F120" i="20"/>
  <c r="F136" i="20"/>
  <c r="F139" i="20"/>
  <c r="F149" i="20"/>
  <c r="F145" i="20"/>
  <c r="F148" i="20"/>
  <c r="F165" i="20"/>
  <c r="F150" i="20"/>
  <c r="F153" i="20"/>
  <c r="D97" i="20"/>
  <c r="D100" i="20"/>
  <c r="E129" i="20"/>
  <c r="E131" i="20"/>
  <c r="E123" i="20"/>
  <c r="E120" i="20"/>
  <c r="E136" i="20"/>
  <c r="E139" i="20"/>
  <c r="E149" i="20"/>
  <c r="E145" i="20"/>
  <c r="E148" i="20"/>
  <c r="E165" i="20"/>
  <c r="E150" i="20"/>
  <c r="E153" i="20"/>
  <c r="F151" i="20"/>
  <c r="F154" i="20"/>
  <c r="E154" i="20"/>
  <c r="E151" i="20"/>
  <c r="E137" i="20"/>
  <c r="E140" i="20"/>
  <c r="E142" i="20"/>
  <c r="E146" i="20"/>
  <c r="E158" i="20"/>
  <c r="E161" i="20"/>
  <c r="F137" i="20"/>
  <c r="F140" i="20"/>
  <c r="F142" i="20"/>
  <c r="F146" i="20"/>
  <c r="F158" i="20"/>
  <c r="F161" i="20"/>
  <c r="E102" i="20"/>
  <c r="F80" i="20"/>
  <c r="F94" i="20"/>
  <c r="C111" i="20"/>
  <c r="C110" i="20"/>
  <c r="D103" i="20"/>
  <c r="D130" i="20"/>
  <c r="F85" i="20"/>
  <c r="F106" i="20"/>
  <c r="C99" i="20"/>
  <c r="F90" i="20"/>
  <c r="F89" i="20"/>
  <c r="F108" i="20"/>
  <c r="C114" i="20"/>
  <c r="F102" i="20"/>
  <c r="F132" i="20"/>
  <c r="E130" i="20"/>
  <c r="E132" i="20"/>
  <c r="F83" i="20"/>
  <c r="F87" i="20"/>
  <c r="F105" i="20"/>
  <c r="F107" i="20"/>
  <c r="C96" i="20"/>
  <c r="C113" i="20"/>
  <c r="C97" i="20"/>
  <c r="C100" i="20"/>
  <c r="D118" i="20"/>
  <c r="D122" i="20"/>
  <c r="D121" i="20"/>
  <c r="F84" i="20"/>
  <c r="F91" i="20"/>
  <c r="D99" i="20"/>
  <c r="E103" i="20"/>
  <c r="E125" i="20"/>
  <c r="E119" i="20"/>
  <c r="E97" i="20"/>
  <c r="E100" i="20"/>
  <c r="F103" i="20"/>
  <c r="F125" i="20"/>
  <c r="F119" i="20"/>
  <c r="E122" i="20"/>
  <c r="D104" i="20"/>
  <c r="D124" i="20"/>
  <c r="E64" i="20"/>
  <c r="E67" i="20"/>
  <c r="E70" i="20"/>
  <c r="E75" i="20"/>
  <c r="E77" i="20" s="1"/>
  <c r="E90" i="20"/>
  <c r="E80" i="20"/>
  <c r="E85" i="20"/>
  <c r="E89" i="20"/>
  <c r="E94" i="20"/>
  <c r="E106" i="20"/>
  <c r="E108" i="20"/>
  <c r="F96" i="20"/>
  <c r="F112" i="20"/>
  <c r="F114" i="20"/>
  <c r="F98" i="20"/>
  <c r="C118" i="20"/>
  <c r="C120" i="20"/>
  <c r="D35" i="20"/>
  <c r="D38" i="20"/>
  <c r="D41" i="20"/>
  <c r="D44" i="20"/>
  <c r="D47" i="20"/>
  <c r="D52" i="20"/>
  <c r="D57" i="20"/>
  <c r="D64" i="20"/>
  <c r="D67" i="20"/>
  <c r="D70" i="20"/>
  <c r="D75" i="20"/>
  <c r="D90" i="20"/>
  <c r="D80" i="20"/>
  <c r="D85" i="20"/>
  <c r="D89" i="20"/>
  <c r="D94" i="20"/>
  <c r="D106" i="20"/>
  <c r="D108" i="20"/>
  <c r="E96" i="20"/>
  <c r="E112" i="20"/>
  <c r="E114" i="20"/>
  <c r="C23" i="20"/>
  <c r="C26" i="20"/>
  <c r="C29" i="20"/>
  <c r="C32" i="20"/>
  <c r="C35" i="20"/>
  <c r="C38" i="20"/>
  <c r="C41" i="20"/>
  <c r="C44" i="20"/>
  <c r="C47" i="20"/>
  <c r="C64" i="20"/>
  <c r="C67" i="20"/>
  <c r="C70" i="20"/>
  <c r="C90" i="20"/>
  <c r="C85" i="20"/>
  <c r="C89" i="20"/>
  <c r="C94" i="20"/>
  <c r="C106" i="20"/>
  <c r="C108" i="20"/>
  <c r="D96" i="20"/>
  <c r="D112" i="20"/>
  <c r="D114" i="20"/>
  <c r="E19" i="20"/>
  <c r="D24" i="20"/>
  <c r="D27" i="20"/>
  <c r="D30" i="20"/>
  <c r="D33" i="20"/>
  <c r="D42" i="20"/>
  <c r="D53" i="20"/>
  <c r="D62" i="20"/>
  <c r="D65" i="20"/>
  <c r="D68" i="20"/>
  <c r="D76" i="20"/>
  <c r="D82" i="20"/>
  <c r="D86" i="20"/>
  <c r="D88" i="20"/>
  <c r="D95" i="20"/>
  <c r="C82" i="20"/>
  <c r="C86" i="20"/>
  <c r="C88" i="20"/>
  <c r="C95" i="20"/>
  <c r="C66" i="20"/>
  <c r="C69" i="20"/>
  <c r="C72" i="20"/>
  <c r="C83" i="20"/>
  <c r="C87" i="20"/>
  <c r="C84" i="20"/>
  <c r="C91" i="20"/>
  <c r="C105" i="20"/>
  <c r="C107" i="20"/>
  <c r="C109" i="20"/>
  <c r="D46" i="20"/>
  <c r="D84" i="20"/>
  <c r="D98" i="20"/>
  <c r="E25" i="20"/>
  <c r="E28" i="20"/>
  <c r="E31" i="20"/>
  <c r="E34" i="20"/>
  <c r="E37" i="20"/>
  <c r="E40" i="20"/>
  <c r="E43" i="20"/>
  <c r="E46" i="20"/>
  <c r="E51" i="20"/>
  <c r="E63" i="20"/>
  <c r="E66" i="20"/>
  <c r="E69" i="20"/>
  <c r="E72" i="20"/>
  <c r="E83" i="20"/>
  <c r="E87" i="20"/>
  <c r="E84" i="20"/>
  <c r="E91" i="20"/>
  <c r="E105" i="20"/>
  <c r="E107" i="20"/>
  <c r="E109" i="20"/>
  <c r="E111" i="20"/>
  <c r="E110" i="20"/>
  <c r="E113" i="20"/>
  <c r="E98" i="20"/>
  <c r="F117" i="20"/>
  <c r="F121" i="20"/>
  <c r="D83" i="20"/>
  <c r="D111" i="20"/>
  <c r="D16" i="20"/>
  <c r="D40" i="20"/>
  <c r="D87" i="20"/>
  <c r="D25" i="20"/>
  <c r="D43" i="20"/>
  <c r="D113" i="20"/>
  <c r="D28" i="20"/>
  <c r="D66" i="20"/>
  <c r="D109" i="20"/>
  <c r="E117" i="20"/>
  <c r="E20" i="20"/>
  <c r="D91" i="20"/>
  <c r="D31" i="20"/>
  <c r="D69" i="20"/>
  <c r="D105" i="20"/>
  <c r="D37" i="20"/>
  <c r="D72" i="20"/>
  <c r="D107" i="20"/>
  <c r="D51" i="20"/>
  <c r="D110" i="20"/>
  <c r="E121" i="20"/>
  <c r="F79" i="20"/>
  <c r="C80" i="20"/>
  <c r="F20" i="20"/>
  <c r="E79" i="20"/>
  <c r="C92" i="15"/>
  <c r="C79" i="20"/>
  <c r="C92" i="14"/>
  <c r="E16" i="20"/>
  <c r="D79" i="20"/>
  <c r="F63" i="20"/>
  <c r="F66" i="20"/>
  <c r="F69" i="20"/>
  <c r="F72" i="20"/>
  <c r="F19" i="20"/>
  <c r="C76" i="20"/>
  <c r="F64" i="20"/>
  <c r="F67" i="20"/>
  <c r="F70" i="20"/>
  <c r="F75" i="20"/>
  <c r="C42" i="20"/>
  <c r="C53" i="20"/>
  <c r="C62" i="20"/>
  <c r="C65" i="20"/>
  <c r="C68" i="20"/>
  <c r="C71" i="20"/>
  <c r="C75" i="20"/>
  <c r="D71" i="20"/>
  <c r="C63" i="20"/>
  <c r="D63" i="20"/>
  <c r="F24" i="20"/>
  <c r="F27" i="20"/>
  <c r="F30" i="20"/>
  <c r="F33" i="20"/>
  <c r="F36" i="20"/>
  <c r="F39" i="20"/>
  <c r="F42" i="20"/>
  <c r="F45" i="20"/>
  <c r="F53" i="20"/>
  <c r="C37" i="20"/>
  <c r="C28" i="20"/>
  <c r="C46" i="20"/>
  <c r="C25" i="20"/>
  <c r="C40" i="20"/>
  <c r="C31" i="20"/>
  <c r="C43" i="20"/>
  <c r="C51" i="20"/>
  <c r="F16" i="20"/>
  <c r="F57" i="20"/>
  <c r="C57" i="20"/>
  <c r="E18" i="20"/>
  <c r="E50" i="20"/>
  <c r="F50" i="20"/>
  <c r="D17" i="20"/>
  <c r="C9" i="20"/>
  <c r="C52" i="20"/>
  <c r="E9" i="20"/>
  <c r="C22" i="20"/>
  <c r="F25" i="20"/>
  <c r="F28" i="20"/>
  <c r="F31" i="20"/>
  <c r="F34" i="20"/>
  <c r="F37" i="20"/>
  <c r="F40" i="20"/>
  <c r="F43" i="20"/>
  <c r="F46" i="20"/>
  <c r="F51" i="20"/>
  <c r="F23" i="20"/>
  <c r="F26" i="20"/>
  <c r="F29" i="20"/>
  <c r="F32" i="20"/>
  <c r="F35" i="20"/>
  <c r="F38" i="20"/>
  <c r="F41" i="20"/>
  <c r="F44" i="20"/>
  <c r="F47" i="20"/>
  <c r="F52" i="20"/>
  <c r="N168" i="14"/>
  <c r="C24" i="20"/>
  <c r="C30" i="20"/>
  <c r="C45" i="20"/>
  <c r="C50" i="20"/>
  <c r="C133" i="14"/>
  <c r="C27" i="20"/>
  <c r="C33" i="20"/>
  <c r="L168" i="15"/>
  <c r="C36" i="20"/>
  <c r="D7" i="20"/>
  <c r="C39" i="20"/>
  <c r="D9" i="20"/>
  <c r="F7" i="20"/>
  <c r="F9" i="20"/>
  <c r="F18" i="20"/>
  <c r="I168" i="14"/>
  <c r="C34" i="20"/>
  <c r="O168" i="15"/>
  <c r="E7" i="20"/>
  <c r="D8" i="20"/>
  <c r="C20" i="20"/>
  <c r="D20" i="20"/>
  <c r="E8" i="20"/>
  <c r="F8" i="20"/>
  <c r="D23" i="20"/>
  <c r="D32" i="20"/>
  <c r="D39" i="20"/>
  <c r="D45" i="20"/>
  <c r="D29" i="20"/>
  <c r="D36" i="20"/>
  <c r="D50" i="20"/>
  <c r="D26" i="20"/>
  <c r="D34" i="20"/>
  <c r="E17" i="20"/>
  <c r="P168" i="16"/>
  <c r="R168" i="16"/>
  <c r="K168" i="16"/>
  <c r="L168" i="16"/>
  <c r="C8" i="20"/>
  <c r="C12" i="16"/>
  <c r="C7" i="20"/>
  <c r="P168" i="15"/>
  <c r="J168" i="14"/>
  <c r="C48" i="14"/>
  <c r="D77" i="15"/>
  <c r="R168" i="15"/>
  <c r="L168" i="14"/>
  <c r="G168" i="16"/>
  <c r="Q168" i="16"/>
  <c r="E12" i="16"/>
  <c r="C73" i="15"/>
  <c r="C77" i="15"/>
  <c r="Q168" i="15"/>
  <c r="K168" i="14"/>
  <c r="F12" i="16"/>
  <c r="M168" i="14"/>
  <c r="C168" i="12"/>
  <c r="C166" i="14"/>
  <c r="G168" i="15"/>
  <c r="I168" i="15"/>
  <c r="O168" i="14"/>
  <c r="J168" i="15"/>
  <c r="P168" i="14"/>
  <c r="K168" i="15"/>
  <c r="Q168" i="14"/>
  <c r="F168" i="13"/>
  <c r="E14" i="20"/>
  <c r="R168" i="14"/>
  <c r="C168" i="13"/>
  <c r="E168" i="12"/>
  <c r="C73" i="14"/>
  <c r="C77" i="14"/>
  <c r="F14" i="20"/>
  <c r="C133" i="15"/>
  <c r="C166" i="15"/>
  <c r="M168" i="15"/>
  <c r="G168" i="14"/>
  <c r="F168" i="12"/>
  <c r="O168" i="16"/>
  <c r="N168" i="15"/>
  <c r="H168" i="14"/>
  <c r="E168" i="13"/>
  <c r="D12" i="16"/>
  <c r="E73" i="15"/>
  <c r="E77" i="15"/>
  <c r="C133" i="16"/>
  <c r="F73" i="15"/>
  <c r="E133" i="16"/>
  <c r="C166" i="16"/>
  <c r="E166" i="16"/>
  <c r="D73" i="15"/>
  <c r="C48" i="16"/>
  <c r="D48" i="16"/>
  <c r="F77" i="15"/>
  <c r="D168" i="13"/>
  <c r="F48" i="16"/>
  <c r="E48" i="16"/>
  <c r="D168" i="12"/>
  <c r="C60" i="20" l="1"/>
  <c r="D60" i="20"/>
  <c r="F60" i="20"/>
  <c r="E60" i="20"/>
  <c r="C166" i="20"/>
  <c r="E166" i="20"/>
  <c r="F166" i="20"/>
  <c r="D133" i="20"/>
  <c r="E133" i="20"/>
  <c r="C133" i="20"/>
  <c r="F133" i="20"/>
  <c r="F92" i="20"/>
  <c r="D92" i="20"/>
  <c r="C92" i="20"/>
  <c r="E92" i="20"/>
  <c r="C73" i="20"/>
  <c r="E12" i="20"/>
  <c r="C12" i="20"/>
  <c r="F12" i="20"/>
  <c r="D12" i="20"/>
  <c r="C168" i="14"/>
  <c r="E168" i="14"/>
  <c r="C168" i="15"/>
  <c r="E168" i="16"/>
  <c r="E13" i="20"/>
  <c r="F168" i="14"/>
  <c r="F168" i="15"/>
  <c r="F13" i="20"/>
  <c r="E168" i="15"/>
  <c r="C168" i="16"/>
  <c r="C48" i="20"/>
  <c r="E73" i="20"/>
  <c r="C77" i="20"/>
  <c r="F48" i="20"/>
  <c r="E48" i="20"/>
  <c r="D168" i="14"/>
  <c r="C168" i="20" l="1"/>
  <c r="E168" i="20"/>
  <c r="R1" i="7"/>
  <c r="H133" i="16" l="1"/>
  <c r="H168" i="16" s="1"/>
  <c r="D73" i="16" l="1"/>
  <c r="F73" i="16"/>
  <c r="D133" i="16"/>
  <c r="F166" i="16"/>
  <c r="D166" i="16"/>
  <c r="F133" i="16"/>
  <c r="F77" i="20" l="1"/>
  <c r="F168" i="16"/>
  <c r="D168" i="16"/>
  <c r="F73" i="20"/>
  <c r="D73" i="20"/>
  <c r="D77" i="20"/>
  <c r="F168" i="20" l="1"/>
  <c r="D22" i="8"/>
  <c r="D48" i="8" l="1"/>
  <c r="D168" i="8" s="1"/>
  <c r="D22" i="20"/>
  <c r="D48" i="20" s="1"/>
  <c r="C133" i="1"/>
  <c r="C168" i="1" s="1"/>
  <c r="D138" i="15"/>
  <c r="H168" i="15"/>
  <c r="D138" i="20" l="1"/>
  <c r="D166" i="20" s="1"/>
  <c r="D168" i="20" s="1"/>
  <c r="D166" i="15"/>
  <c r="D168" i="15" s="1"/>
  <c r="H168" i="7"/>
  <c r="L16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Xamrobek X. Yusupov</author>
  </authors>
  <commentList>
    <comment ref="Q138" authorId="0" shapeId="0" xr:uid="{5D608B0C-05D4-4AF3-B1D7-33C802780E1F}">
      <text>
        <r>
          <rPr>
            <b/>
            <sz val="9"/>
            <color indexed="81"/>
            <rFont val="Tahoma"/>
            <charset val="1"/>
          </rPr>
          <t>Xamrobek X. Yusupov:</t>
        </r>
        <r>
          <rPr>
            <sz val="9"/>
            <color indexed="81"/>
            <rFont val="Tahoma"/>
            <charset val="1"/>
          </rPr>
          <t xml:space="preserve">
Switch HUB -
</t>
        </r>
      </text>
    </comment>
  </commentList>
</comments>
</file>

<file path=xl/sharedStrings.xml><?xml version="1.0" encoding="utf-8"?>
<sst xmlns="http://schemas.openxmlformats.org/spreadsheetml/2006/main" count="3413" uniqueCount="281">
  <si>
    <t>Кол-во</t>
  </si>
  <si>
    <t>Ст-ть</t>
  </si>
  <si>
    <t>I</t>
  </si>
  <si>
    <t>АВТОТРАНСПОРТ</t>
  </si>
  <si>
    <t>DAMAS</t>
  </si>
  <si>
    <t>II</t>
  </si>
  <si>
    <t>III</t>
  </si>
  <si>
    <t>IV</t>
  </si>
  <si>
    <t>VI</t>
  </si>
  <si>
    <t>VII</t>
  </si>
  <si>
    <t>VIII</t>
  </si>
  <si>
    <t>IX</t>
  </si>
  <si>
    <t xml:space="preserve">Ст-ть             </t>
  </si>
  <si>
    <t>V</t>
  </si>
  <si>
    <t xml:space="preserve"> </t>
  </si>
  <si>
    <t>Chevrolet Tracker premier АТ</t>
  </si>
  <si>
    <t>Chevrolet Onix</t>
  </si>
  <si>
    <t>Chevrolet Malibu premier</t>
  </si>
  <si>
    <t>Elekromobil</t>
  </si>
  <si>
    <r>
      <t xml:space="preserve">Stol </t>
    </r>
    <r>
      <rPr>
        <i/>
        <sz val="10"/>
        <rFont val="Arial Cyr"/>
        <charset val="204"/>
      </rPr>
      <t>(kontselyariya)</t>
    </r>
  </si>
  <si>
    <r>
      <t xml:space="preserve">Stol </t>
    </r>
    <r>
      <rPr>
        <i/>
        <sz val="10"/>
        <rFont val="Arial Cyr"/>
        <charset val="204"/>
      </rPr>
      <t>(rahbar uchun)</t>
    </r>
  </si>
  <si>
    <r>
      <t xml:space="preserve">Mahsus kassa </t>
    </r>
    <r>
      <rPr>
        <i/>
        <sz val="10"/>
        <rFont val="Arial Cyr"/>
        <charset val="204"/>
      </rPr>
      <t>(amaliyot kassasi uchun)</t>
    </r>
  </si>
  <si>
    <r>
      <t xml:space="preserve">Stol </t>
    </r>
    <r>
      <rPr>
        <i/>
        <sz val="10"/>
        <rFont val="Arial Cyr"/>
        <charset val="204"/>
      </rPr>
      <t>(kassa uchun)</t>
    </r>
    <r>
      <rPr>
        <sz val="10"/>
        <rFont val="Arial Cyr"/>
        <family val="2"/>
        <charset val="204"/>
      </rPr>
      <t xml:space="preserve"> (</t>
    </r>
    <r>
      <rPr>
        <i/>
        <sz val="10"/>
        <rFont val="Arial Cyr"/>
        <charset val="204"/>
      </rPr>
      <t>yarim oynali</t>
    </r>
    <r>
      <rPr>
        <sz val="10"/>
        <rFont val="Arial Cyr"/>
        <family val="2"/>
        <charset val="204"/>
      </rPr>
      <t>)</t>
    </r>
  </si>
  <si>
    <r>
      <t xml:space="preserve">Stol </t>
    </r>
    <r>
      <rPr>
        <i/>
        <sz val="10"/>
        <rFont val="Arial Cyr"/>
        <charset val="204"/>
      </rPr>
      <t>(kassa uchun)</t>
    </r>
    <r>
      <rPr>
        <sz val="10"/>
        <rFont val="Arial Cyr"/>
        <charset val="204"/>
      </rPr>
      <t xml:space="preserve"> (</t>
    </r>
    <r>
      <rPr>
        <i/>
        <sz val="10"/>
        <rFont val="Arial Cyr"/>
        <charset val="204"/>
      </rPr>
      <t>yarim oynali</t>
    </r>
    <r>
      <rPr>
        <sz val="10"/>
        <rFont val="Arial Cyr"/>
        <charset val="204"/>
      </rPr>
      <t>)</t>
    </r>
  </si>
  <si>
    <r>
      <t xml:space="preserve">Stol </t>
    </r>
    <r>
      <rPr>
        <i/>
        <sz val="10"/>
        <rFont val="Arial Cyr"/>
        <charset val="204"/>
      </rPr>
      <t>(majlislar zali uchun)</t>
    </r>
  </si>
  <si>
    <t>Stul</t>
  </si>
  <si>
    <r>
      <t xml:space="preserve">Stul </t>
    </r>
    <r>
      <rPr>
        <i/>
        <sz val="10"/>
        <rFont val="Arial Cyr"/>
        <charset val="204"/>
      </rPr>
      <t>(majlislar zali uchun)</t>
    </r>
  </si>
  <si>
    <r>
      <t xml:space="preserve">Stul </t>
    </r>
    <r>
      <rPr>
        <i/>
        <sz val="10"/>
        <rFont val="Arial Cyr"/>
        <charset val="204"/>
      </rPr>
      <t>(yarim yumshoq)</t>
    </r>
  </si>
  <si>
    <t>Divan</t>
  </si>
  <si>
    <t>Eshik</t>
  </si>
  <si>
    <t>3 o'rindiqli stul</t>
  </si>
  <si>
    <t>4 o'rindiqli stul</t>
  </si>
  <si>
    <r>
      <t xml:space="preserve">Kreslo </t>
    </r>
    <r>
      <rPr>
        <i/>
        <sz val="10"/>
        <rFont val="Arial Cyr"/>
        <charset val="204"/>
      </rPr>
      <t>(operator uchun)</t>
    </r>
  </si>
  <si>
    <r>
      <t xml:space="preserve">Kreslo </t>
    </r>
    <r>
      <rPr>
        <i/>
        <sz val="10"/>
        <rFont val="Arial Cyr"/>
        <charset val="204"/>
      </rPr>
      <t>(ofis uchun)</t>
    </r>
  </si>
  <si>
    <r>
      <t xml:space="preserve">Kreslo </t>
    </r>
    <r>
      <rPr>
        <i/>
        <sz val="10"/>
        <rFont val="Arial Cyr"/>
        <charset val="204"/>
      </rPr>
      <t>(mijozlar uchun)</t>
    </r>
    <r>
      <rPr>
        <sz val="10"/>
        <rFont val="Arial Cyr"/>
        <family val="2"/>
        <charset val="204"/>
      </rPr>
      <t xml:space="preserve"> </t>
    </r>
  </si>
  <si>
    <r>
      <t xml:space="preserve">Kreslo </t>
    </r>
    <r>
      <rPr>
        <i/>
        <sz val="10"/>
        <rFont val="Arial Cyr"/>
        <charset val="204"/>
      </rPr>
      <t>(mijozlar uchun)</t>
    </r>
    <r>
      <rPr>
        <sz val="10"/>
        <rFont val="Arial Cyr"/>
        <charset val="204"/>
      </rPr>
      <t xml:space="preserve"> </t>
    </r>
  </si>
  <si>
    <r>
      <t xml:space="preserve">Kreslo </t>
    </r>
    <r>
      <rPr>
        <i/>
        <sz val="10"/>
        <rFont val="Arial Cyr"/>
        <charset val="204"/>
      </rPr>
      <t>(rahbar uchun)</t>
    </r>
  </si>
  <si>
    <r>
      <t xml:space="preserve">Shkaf </t>
    </r>
    <r>
      <rPr>
        <i/>
        <sz val="10"/>
        <rFont val="Arial Cyr"/>
        <charset val="204"/>
      </rPr>
      <t>(ofis uchun)</t>
    </r>
  </si>
  <si>
    <t>Shkaf (kiyim uchun)</t>
  </si>
  <si>
    <r>
      <t xml:space="preserve">Shkaf </t>
    </r>
    <r>
      <rPr>
        <i/>
        <sz val="10"/>
        <rFont val="Arial Cyr"/>
        <charset val="204"/>
      </rPr>
      <t>(kitoblar uchun)</t>
    </r>
  </si>
  <si>
    <r>
      <t xml:space="preserve">Shkaf </t>
    </r>
    <r>
      <rPr>
        <i/>
        <sz val="10"/>
        <rFont val="Arial Cyr"/>
        <charset val="204"/>
      </rPr>
      <t>(qo'shilgan)</t>
    </r>
  </si>
  <si>
    <r>
      <t xml:space="preserve">Shkaf </t>
    </r>
    <r>
      <rPr>
        <i/>
        <sz val="10"/>
        <rFont val="Arial Cyr"/>
        <charset val="204"/>
      </rPr>
      <t>(fayl boks)</t>
    </r>
  </si>
  <si>
    <r>
      <t xml:space="preserve">Shkaf </t>
    </r>
    <r>
      <rPr>
        <i/>
        <sz val="10"/>
        <rFont val="Arial Cyr"/>
        <charset val="204"/>
      </rPr>
      <t>(lokal tarmog'I uchun)</t>
    </r>
  </si>
  <si>
    <t>Tumba</t>
  </si>
  <si>
    <t>Jurnal stoli</t>
  </si>
  <si>
    <t>Yumshoq mebel</t>
  </si>
  <si>
    <t>Ofis mebeli</t>
  </si>
  <si>
    <r>
      <t xml:space="preserve">Stol </t>
    </r>
    <r>
      <rPr>
        <i/>
        <sz val="10"/>
        <rFont val="Arial Cyr"/>
        <charset val="204"/>
      </rPr>
      <t>(tushlik uchun)</t>
    </r>
  </si>
  <si>
    <r>
      <t xml:space="preserve">Stul </t>
    </r>
    <r>
      <rPr>
        <i/>
        <sz val="10"/>
        <rFont val="Arial Cyr"/>
        <charset val="204"/>
      </rPr>
      <t>(oshxona uchun)</t>
    </r>
  </si>
  <si>
    <t>Tribuma</t>
  </si>
  <si>
    <t>Skameyka</t>
  </si>
  <si>
    <t>Yong'inga qarshi shkaf</t>
  </si>
  <si>
    <t>Seyf</t>
  </si>
  <si>
    <r>
      <t xml:space="preserve">Metall stellaj </t>
    </r>
    <r>
      <rPr>
        <i/>
        <sz val="10"/>
        <rFont val="Arial Cyr"/>
        <charset val="204"/>
      </rPr>
      <t>(arxiv, kassa va omborxona uchun)</t>
    </r>
  </si>
  <si>
    <t>Temir shkaf</t>
  </si>
  <si>
    <t>2023 YILDA ASOSIY VOSITALARNI XARID QILISH SMETASI</t>
  </si>
  <si>
    <t>Bank bo'yicha jami</t>
  </si>
  <si>
    <t>Soni</t>
  </si>
  <si>
    <t>Qiymati               (ming so'm)</t>
  </si>
  <si>
    <t>01.12.2022 yil holatiga FAKT</t>
  </si>
  <si>
    <t>TASDIQLANGAN LIMIT</t>
  </si>
  <si>
    <t>ELEKTROJIHOZLAR</t>
  </si>
  <si>
    <t>№ t.r.</t>
  </si>
  <si>
    <t>Asosiy vosita nomi</t>
  </si>
  <si>
    <t>Konditsioner</t>
  </si>
  <si>
    <t>Konditsioner kolonnali</t>
  </si>
  <si>
    <t>Changyutgich</t>
  </si>
  <si>
    <t>Televizor</t>
  </si>
  <si>
    <t>Muzlatgich</t>
  </si>
  <si>
    <t>Kir yuvish mashinasi</t>
  </si>
  <si>
    <t>Raqamli fotoapparat</t>
  </si>
  <si>
    <t>Kofe mashina</t>
  </si>
  <si>
    <t>Mikroto'lqinli pech</t>
  </si>
  <si>
    <t>Quyosh panellari</t>
  </si>
  <si>
    <t>XO'JALIK ANJOMLARI</t>
  </si>
  <si>
    <t>Dizelli generator</t>
  </si>
  <si>
    <t>Suriluvchi generator 10 kVt</t>
  </si>
  <si>
    <t>Stabilizator</t>
  </si>
  <si>
    <t>Suv isitgich</t>
  </si>
  <si>
    <t>Gaz uskunasi (xizmat avtoulovlari uchun, metan)</t>
  </si>
  <si>
    <t>GRP</t>
  </si>
  <si>
    <t>Transformator</t>
  </si>
  <si>
    <t>Drenaj nasosi</t>
  </si>
  <si>
    <t>Velosipedlar uchun turargoh</t>
  </si>
  <si>
    <t>Vakuumli suv nasosi</t>
  </si>
  <si>
    <t>Doiraviy nasos</t>
  </si>
  <si>
    <t>OFIS JIHOZLARI</t>
  </si>
  <si>
    <t>MINI ATC</t>
  </si>
  <si>
    <t>Shlyuz (IAD 32 portli, VolP) (telefon aloqasu uchun qurilma, optik tolaga ulash uchun)</t>
  </si>
  <si>
    <t>MEBEL</t>
  </si>
  <si>
    <t>KASSA USKUNALARI</t>
  </si>
  <si>
    <t>Pul sanab-saralash mashinkasi (ko'p cho'ntakli)</t>
  </si>
  <si>
    <t>Pul sanab-saralash mashinkasi (kam cho'ntakli)</t>
  </si>
  <si>
    <t>Tanga sanash mashinkasi</t>
  </si>
  <si>
    <t>Pulni qadoshlash uskunasi</t>
  </si>
  <si>
    <t>Pul tashish aravachasi</t>
  </si>
  <si>
    <t>Chang purkagich</t>
  </si>
  <si>
    <t>QR code skaneri</t>
  </si>
  <si>
    <t>Qalbaki pul aniqlash uskunasi (detekrot)</t>
  </si>
  <si>
    <t>Qalbaki pul aniqlash uskunasi (testor VASH uchun)</t>
  </si>
  <si>
    <t>Elektron kurs tablosi</t>
  </si>
  <si>
    <t>Termo printer (VASH uchun)</t>
  </si>
  <si>
    <t>Pul sanash mashinkasi</t>
  </si>
  <si>
    <t>Barmoq izi skaneri</t>
  </si>
  <si>
    <t>KOMPYUTER TEXNIKASI</t>
  </si>
  <si>
    <t>Monoblok va kompyuterlar</t>
  </si>
  <si>
    <t>Noutbuk</t>
  </si>
  <si>
    <t>Planshet</t>
  </si>
  <si>
    <r>
      <t>Printer - ko'p funktsiyali (</t>
    </r>
    <r>
      <rPr>
        <b/>
        <sz val="10"/>
        <rFont val="Arial Cyr"/>
        <charset val="204"/>
      </rPr>
      <t xml:space="preserve">А4 </t>
    </r>
    <r>
      <rPr>
        <sz val="10"/>
        <rFont val="Arial Cyr"/>
        <charset val="204"/>
      </rPr>
      <t>fortmatdagi 3tasi 1da)</t>
    </r>
  </si>
  <si>
    <r>
      <t>Printer - ko'p funktsiyali (</t>
    </r>
    <r>
      <rPr>
        <b/>
        <sz val="10"/>
        <rFont val="Arial Cyr"/>
        <charset val="204"/>
      </rPr>
      <t xml:space="preserve">А4 </t>
    </r>
    <r>
      <rPr>
        <sz val="10"/>
        <rFont val="Arial Cyr"/>
        <charset val="204"/>
      </rPr>
      <t>fortmatdagi 3tasi 1da)</t>
    </r>
  </si>
  <si>
    <r>
      <t>Printer (</t>
    </r>
    <r>
      <rPr>
        <b/>
        <sz val="10"/>
        <rFont val="Arial Cyr"/>
        <charset val="204"/>
      </rPr>
      <t xml:space="preserve">А4 </t>
    </r>
    <r>
      <rPr>
        <sz val="10"/>
        <rFont val="Arial Cyr"/>
        <charset val="204"/>
      </rPr>
      <t>formatdagi)</t>
    </r>
  </si>
  <si>
    <r>
      <t>Printer (</t>
    </r>
    <r>
      <rPr>
        <b/>
        <sz val="10"/>
        <rFont val="Arial Cyr"/>
        <charset val="204"/>
      </rPr>
      <t xml:space="preserve">А4 </t>
    </r>
    <r>
      <rPr>
        <sz val="10"/>
        <rFont val="Arial Cyr"/>
        <charset val="204"/>
      </rPr>
      <t>formatdagi)</t>
    </r>
  </si>
  <si>
    <r>
      <t>Printer - ko'p funktsiyali (</t>
    </r>
    <r>
      <rPr>
        <b/>
        <sz val="10"/>
        <rFont val="Arial Cyr"/>
        <charset val="204"/>
      </rPr>
      <t>А3</t>
    </r>
    <r>
      <rPr>
        <sz val="10"/>
        <rFont val="Arial Cyr"/>
        <family val="2"/>
        <charset val="204"/>
      </rPr>
      <t xml:space="preserve"> fortmatdagi)</t>
    </r>
  </si>
  <si>
    <r>
      <t>Printer - ko'p funktsiyali (</t>
    </r>
    <r>
      <rPr>
        <b/>
        <sz val="10"/>
        <rFont val="Arial Cyr"/>
        <charset val="204"/>
      </rPr>
      <t>А3</t>
    </r>
    <r>
      <rPr>
        <sz val="10"/>
        <rFont val="Arial Cyr"/>
        <charset val="204"/>
      </rPr>
      <t xml:space="preserve"> fortmatdagi)</t>
    </r>
  </si>
  <si>
    <r>
      <t>Rangli printer - ko'p funktsiyali (</t>
    </r>
    <r>
      <rPr>
        <b/>
        <sz val="10"/>
        <rFont val="Arial Cyr"/>
        <charset val="204"/>
      </rPr>
      <t>А3</t>
    </r>
    <r>
      <rPr>
        <sz val="10"/>
        <rFont val="Arial Cyr"/>
        <family val="2"/>
        <charset val="204"/>
      </rPr>
      <t xml:space="preserve"> va </t>
    </r>
    <r>
      <rPr>
        <b/>
        <sz val="10"/>
        <rFont val="Arial Cyr"/>
        <charset val="204"/>
      </rPr>
      <t>A4</t>
    </r>
    <r>
      <rPr>
        <sz val="10"/>
        <rFont val="Arial Cyr"/>
        <family val="2"/>
        <charset val="204"/>
      </rPr>
      <t xml:space="preserve"> fortmatdagi)</t>
    </r>
  </si>
  <si>
    <r>
      <t>Rangli printer - ko'p funktsiyali (</t>
    </r>
    <r>
      <rPr>
        <b/>
        <sz val="10"/>
        <rFont val="Arial Cyr"/>
        <charset val="204"/>
      </rPr>
      <t>А3</t>
    </r>
    <r>
      <rPr>
        <sz val="10"/>
        <rFont val="Arial Cyr"/>
        <charset val="204"/>
      </rPr>
      <t xml:space="preserve"> va </t>
    </r>
    <r>
      <rPr>
        <b/>
        <sz val="10"/>
        <rFont val="Arial Cyr"/>
        <charset val="204"/>
      </rPr>
      <t>A4</t>
    </r>
    <r>
      <rPr>
        <sz val="10"/>
        <rFont val="Arial Cyr"/>
        <charset val="204"/>
      </rPr>
      <t xml:space="preserve"> fortmatdagi)</t>
    </r>
  </si>
  <si>
    <t>Skaner</t>
  </si>
  <si>
    <r>
      <t xml:space="preserve">Uzluksiz oziqa ta'minoti </t>
    </r>
    <r>
      <rPr>
        <b/>
        <sz val="10"/>
        <rFont val="Arial Cyr"/>
        <charset val="204"/>
      </rPr>
      <t>(UPS)</t>
    </r>
  </si>
  <si>
    <t>IP telefoniya</t>
  </si>
  <si>
    <t>Zaxira IASB uchun serverlar va dasturiy ta'minot</t>
  </si>
  <si>
    <t>Zaxira telekommunikatsiya uskunalari</t>
  </si>
  <si>
    <r>
      <rPr>
        <b/>
        <sz val="10"/>
        <rFont val="Arial Cyr"/>
        <charset val="204"/>
      </rPr>
      <t>"Byudjetlashtirish"</t>
    </r>
    <r>
      <rPr>
        <sz val="10"/>
        <rFont val="Arial Cyr"/>
        <family val="2"/>
        <charset val="204"/>
      </rPr>
      <t xml:space="preserve"> quyi tizimi uchun serverlar va dasturiy ta'minot</t>
    </r>
  </si>
  <si>
    <r>
      <t>"Byudjetlashtirish"</t>
    </r>
    <r>
      <rPr>
        <sz val="10"/>
        <rFont val="Arial Cyr"/>
        <charset val="204"/>
      </rPr>
      <t xml:space="preserve"> quyi tizimi uchun serverlar va dasturiy ta'minot</t>
    </r>
  </si>
  <si>
    <r>
      <t xml:space="preserve">Asosiy va zaxira </t>
    </r>
    <r>
      <rPr>
        <b/>
        <sz val="10"/>
        <rFont val="Arial Cyr"/>
        <charset val="204"/>
      </rPr>
      <t>Ma'lumotlarni qayta ishlash markazlari</t>
    </r>
    <r>
      <rPr>
        <sz val="10"/>
        <rFont val="Arial Cyr"/>
        <family val="2"/>
        <charset val="204"/>
      </rPr>
      <t xml:space="preserve"> uchun injenerlik asbob-uskunalari</t>
    </r>
  </si>
  <si>
    <r>
      <t xml:space="preserve">Asosiy va zaxira </t>
    </r>
    <r>
      <rPr>
        <b/>
        <sz val="10"/>
        <rFont val="Arial Cyr"/>
        <charset val="204"/>
      </rPr>
      <t>Ma'lumotlarni qayta ishlash markazlari</t>
    </r>
    <r>
      <rPr>
        <sz val="10"/>
        <rFont val="Arial Cyr"/>
        <charset val="204"/>
      </rPr>
      <t xml:space="preserve"> uchun injenerlik asbob-uskunalari</t>
    </r>
  </si>
  <si>
    <r>
      <t xml:space="preserve">Risk-Menejment, AML </t>
    </r>
    <r>
      <rPr>
        <sz val="10"/>
        <rFont val="Arial Cyr"/>
        <charset val="204"/>
      </rPr>
      <t>tizimi uchun serverlar va dasturiy ta'minot</t>
    </r>
  </si>
  <si>
    <r>
      <t xml:space="preserve">Risk-Menejment, AML </t>
    </r>
    <r>
      <rPr>
        <sz val="10"/>
        <rFont val="Arial Cyr"/>
        <charset val="204"/>
      </rPr>
      <t>tizimi uchun serverlar va dasturiy ta'minot</t>
    </r>
  </si>
  <si>
    <r>
      <rPr>
        <b/>
        <sz val="10"/>
        <rFont val="Arial Cyr"/>
        <charset val="204"/>
      </rPr>
      <t>IABS</t>
    </r>
    <r>
      <rPr>
        <sz val="10"/>
        <rFont val="Arial Cyr"/>
        <family val="2"/>
        <charset val="204"/>
      </rPr>
      <t xml:space="preserve"> va boshqa tizimlarning qo'shimcha modullarini ishlab chiqish</t>
    </r>
  </si>
  <si>
    <r>
      <t>IABS</t>
    </r>
    <r>
      <rPr>
        <sz val="10"/>
        <rFont val="Arial Cyr"/>
        <charset val="204"/>
      </rPr>
      <t xml:space="preserve"> va boshqa tizimlarning qo'shimcha modullarini ishlab chiqish</t>
    </r>
  </si>
  <si>
    <r>
      <rPr>
        <b/>
        <sz val="10"/>
        <rFont val="Arial Cyr"/>
        <charset val="204"/>
      </rPr>
      <t xml:space="preserve">AML </t>
    </r>
    <r>
      <rPr>
        <sz val="10"/>
        <rFont val="Arial Cyr"/>
        <charset val="204"/>
      </rPr>
      <t>dasturiy ta'minoti</t>
    </r>
  </si>
  <si>
    <r>
      <t xml:space="preserve">AML </t>
    </r>
    <r>
      <rPr>
        <sz val="10"/>
        <rFont val="Arial Cyr"/>
        <charset val="204"/>
      </rPr>
      <t>dasturiy ta'minoti</t>
    </r>
  </si>
  <si>
    <r>
      <rPr>
        <b/>
        <sz val="10"/>
        <rFont val="Arial Cyr"/>
        <charset val="204"/>
      </rPr>
      <t>Risk-Menejment</t>
    </r>
    <r>
      <rPr>
        <sz val="10"/>
        <rFont val="Arial Cyr"/>
        <family val="2"/>
        <charset val="204"/>
      </rPr>
      <t xml:space="preserve"> dasturiy ta'minoti</t>
    </r>
  </si>
  <si>
    <r>
      <rPr>
        <b/>
        <sz val="10"/>
        <rFont val="Arial Cyr"/>
        <charset val="204"/>
      </rPr>
      <t>Xodimlarni boshqarish</t>
    </r>
    <r>
      <rPr>
        <sz val="10"/>
        <rFont val="Arial Cyr"/>
        <family val="2"/>
        <charset val="204"/>
      </rPr>
      <t xml:space="preserve"> dasturiy ta'minoti</t>
    </r>
  </si>
  <si>
    <r>
      <t>Xodimlarni boshqarish</t>
    </r>
    <r>
      <rPr>
        <sz val="10"/>
        <rFont val="Arial Cyr"/>
        <charset val="204"/>
      </rPr>
      <t xml:space="preserve"> dasturiy ta'minoti</t>
    </r>
  </si>
  <si>
    <t>SSL sertifikatlari</t>
  </si>
  <si>
    <t>Dastruchilar uchun litsenziyalar</t>
  </si>
  <si>
    <r>
      <t xml:space="preserve">Asosiy va zaxira Ma'lumotlarni qayta ishlash markazlari o'rtasida </t>
    </r>
    <r>
      <rPr>
        <b/>
        <sz val="10"/>
        <rFont val="Arial Cyr"/>
        <charset val="204"/>
      </rPr>
      <t>Optik tolali chiziq o'tkazish</t>
    </r>
  </si>
  <si>
    <t>HUMO plastik kartalari</t>
  </si>
  <si>
    <t>UZCARD DUO plastik kartalari</t>
  </si>
  <si>
    <t>Visa plastik kartalari</t>
  </si>
  <si>
    <t>Master card plastik kartalari</t>
  </si>
  <si>
    <t>Union pay plastik kartalari</t>
  </si>
  <si>
    <t>Embosser</t>
  </si>
  <si>
    <t>Bankomat</t>
  </si>
  <si>
    <t>To'lov terminallari</t>
  </si>
  <si>
    <t>Openway tizimi uchun qo'shimcha litsenziyalar (VTS Issuer Tokenization, Offline obfuscator, Data Preparation &amp; Card Personalization, Visa Alias Directory Service)</t>
  </si>
  <si>
    <t>Persoreshenie litsenziyasini kengaytirish</t>
  </si>
  <si>
    <t>MPSda sertifikatsiyalash</t>
  </si>
  <si>
    <t>Ingenico terminallari uchun litsenziya</t>
  </si>
  <si>
    <t>Elektr energiyasi o'chganda generatorga avtomatik tarzda ulash uskunasi</t>
  </si>
  <si>
    <t>Musiqa uskunalari</t>
  </si>
  <si>
    <t>Marshrutizator</t>
  </si>
  <si>
    <t>Bankomatlar uchun mahsus shaxobcha</t>
  </si>
  <si>
    <t>XAVFSIZLIK TIZIMI ASBOB-USKUNALRI</t>
  </si>
  <si>
    <t>II bo'yicha Jami:</t>
  </si>
  <si>
    <t>I bo'yicha Jami:</t>
  </si>
  <si>
    <t>III bo'yicha Jami:</t>
  </si>
  <si>
    <t>IV bo'yicha Jami:</t>
  </si>
  <si>
    <t>V bo'yicha Jami:</t>
  </si>
  <si>
    <t>VI bo'yicha Jami:</t>
  </si>
  <si>
    <t>VII bo'yicha Jami:</t>
  </si>
  <si>
    <t>VIII bo'yicha Jami:</t>
  </si>
  <si>
    <t>JAMI:</t>
  </si>
  <si>
    <t>Qo'riqlash va yong'inga qarshi tashvish signalizatsiyasini o'rnatish</t>
  </si>
  <si>
    <t>Videokuzatuv tizimini yangilash</t>
  </si>
  <si>
    <t>Videokuzatuv tizimini xarid qilish va o'rnatish</t>
  </si>
  <si>
    <t>Videokuzatuv tizimini montaj va demontaj qilish ishlari</t>
  </si>
  <si>
    <t>Favqulotta vaziyatlarda xabar berish tizimini montaj va demontaj qilish ishlari</t>
  </si>
  <si>
    <t>Lokal tarmog'ini o'rnatish</t>
  </si>
  <si>
    <t>Kirish va chiqishni nazorat qilish tizimi (SKUD)</t>
  </si>
  <si>
    <t>Favqulotta vaziyatlardagi vositalar</t>
  </si>
  <si>
    <t>Veb kamera</t>
  </si>
  <si>
    <t xml:space="preserve">Shlagbaum </t>
  </si>
  <si>
    <t xml:space="preserve">Temir panjaralar </t>
  </si>
  <si>
    <t>Vodeodomofon</t>
  </si>
  <si>
    <t>Favqulotda vaziyatlarda ogohlantirish vositalari</t>
  </si>
  <si>
    <t>KASPERSKIY virusga qarshi dasturi litsenziyani muddatini uzaytirish</t>
  </si>
  <si>
    <r>
      <t xml:space="preserve">Styx client </t>
    </r>
    <r>
      <rPr>
        <sz val="10"/>
        <rFont val="Arial Cyr"/>
        <charset val="204"/>
      </rPr>
      <t>apparatli dasturiy kompleksi</t>
    </r>
  </si>
  <si>
    <r>
      <rPr>
        <b/>
        <sz val="10"/>
        <rFont val="Arial Cyr"/>
        <charset val="204"/>
      </rPr>
      <t xml:space="preserve">CA Linux </t>
    </r>
    <r>
      <rPr>
        <sz val="10"/>
        <rFont val="Arial Cyr"/>
        <charset val="204"/>
      </rPr>
      <t>server sertifikatsiyalash markazi dasturiy ta'minoti</t>
    </r>
  </si>
  <si>
    <r>
      <rPr>
        <b/>
        <sz val="10"/>
        <rFont val="Arial Cyr"/>
        <charset val="204"/>
      </rPr>
      <t>Cisco Firepower</t>
    </r>
    <r>
      <rPr>
        <sz val="10"/>
        <rFont val="Arial Cyr"/>
        <family val="2"/>
        <charset val="204"/>
      </rPr>
      <t xml:space="preserve"> 2110 NGFW Fayrvol</t>
    </r>
  </si>
  <si>
    <t>Cisco FPR2110 Threat Defense Threat, Malware and URL License (3 yilga obuna)</t>
  </si>
  <si>
    <t xml:space="preserve">Server uchun operativ xotira </t>
  </si>
  <si>
    <t>Tenable security center (Nesus) dasturiy kompleksi litsenziyasini uzaytirish</t>
  </si>
  <si>
    <t>Sandbox tekshirgich</t>
  </si>
  <si>
    <t>Zaxiradagi ma'lumotlarni saqlash tarmog'ini xarid qilish va o'rnatish</t>
  </si>
  <si>
    <t>Xavfsizlik tizimlarini joylashtirish, ma'lumotlarni saqlash va ishlov berish uchun giperkonvergent infratuzilma</t>
  </si>
  <si>
    <t>Maxsus noutbuk</t>
  </si>
  <si>
    <t xml:space="preserve">Kechgi saqlagichga kirish va chiqishni identifikatsiya qilish biometrik tizimi </t>
  </si>
  <si>
    <t>TSHHB binosi 5 qavatiga kirish va chiqishni nazorat qilish tizim</t>
  </si>
  <si>
    <t>Fuqarolik himoya bo'yicha burchak</t>
  </si>
  <si>
    <t>Kompleks integrallashgan xavfsizlik tizimi</t>
  </si>
  <si>
    <t>Biometrik qulf</t>
  </si>
  <si>
    <t>AVTOTRANSPORT</t>
  </si>
  <si>
    <t>Buxgalteriya hisobi va moliyaviy</t>
  </si>
  <si>
    <t>Qiymati                            (ming so'm)</t>
  </si>
  <si>
    <r>
      <t xml:space="preserve">Stol </t>
    </r>
    <r>
      <rPr>
        <i/>
        <sz val="15"/>
        <rFont val="Arial Cyr"/>
        <charset val="204"/>
      </rPr>
      <t>(kontselyariya)</t>
    </r>
  </si>
  <si>
    <r>
      <t xml:space="preserve">Stol </t>
    </r>
    <r>
      <rPr>
        <i/>
        <sz val="15"/>
        <rFont val="Arial Cyr"/>
        <charset val="204"/>
      </rPr>
      <t>(rahbar uchun)</t>
    </r>
  </si>
  <si>
    <r>
      <t xml:space="preserve">Mahsus kassa </t>
    </r>
    <r>
      <rPr>
        <i/>
        <sz val="15"/>
        <rFont val="Arial Cyr"/>
        <charset val="204"/>
      </rPr>
      <t>(amaliyot kassasi uchun)</t>
    </r>
  </si>
  <si>
    <r>
      <t xml:space="preserve">Stol </t>
    </r>
    <r>
      <rPr>
        <i/>
        <sz val="15"/>
        <rFont val="Arial Cyr"/>
        <charset val="204"/>
      </rPr>
      <t>(kassa uchun)</t>
    </r>
    <r>
      <rPr>
        <sz val="15"/>
        <rFont val="Arial Cyr"/>
        <charset val="204"/>
      </rPr>
      <t xml:space="preserve"> (</t>
    </r>
    <r>
      <rPr>
        <i/>
        <sz val="15"/>
        <rFont val="Arial Cyr"/>
        <charset val="204"/>
      </rPr>
      <t>yarim oynali</t>
    </r>
    <r>
      <rPr>
        <sz val="15"/>
        <rFont val="Arial Cyr"/>
        <charset val="204"/>
      </rPr>
      <t>)</t>
    </r>
  </si>
  <si>
    <r>
      <t xml:space="preserve">Stol </t>
    </r>
    <r>
      <rPr>
        <i/>
        <sz val="15"/>
        <rFont val="Arial Cyr"/>
        <charset val="204"/>
      </rPr>
      <t>(majlislar zali uchun)</t>
    </r>
  </si>
  <si>
    <r>
      <t xml:space="preserve">Stul </t>
    </r>
    <r>
      <rPr>
        <i/>
        <sz val="15"/>
        <rFont val="Arial Cyr"/>
        <charset val="204"/>
      </rPr>
      <t>(majlislar zali uchun)</t>
    </r>
  </si>
  <si>
    <r>
      <t xml:space="preserve">Stul </t>
    </r>
    <r>
      <rPr>
        <i/>
        <sz val="15"/>
        <rFont val="Arial Cyr"/>
        <charset val="204"/>
      </rPr>
      <t>(yarim yumshoq)</t>
    </r>
  </si>
  <si>
    <r>
      <t xml:space="preserve">Kreslo </t>
    </r>
    <r>
      <rPr>
        <i/>
        <sz val="15"/>
        <rFont val="Arial Cyr"/>
        <charset val="204"/>
      </rPr>
      <t>(operator uchun)</t>
    </r>
  </si>
  <si>
    <r>
      <t xml:space="preserve">Kreslo </t>
    </r>
    <r>
      <rPr>
        <i/>
        <sz val="15"/>
        <rFont val="Arial Cyr"/>
        <charset val="204"/>
      </rPr>
      <t>(ofis uchun)</t>
    </r>
  </si>
  <si>
    <r>
      <t xml:space="preserve">Kreslo </t>
    </r>
    <r>
      <rPr>
        <i/>
        <sz val="15"/>
        <rFont val="Arial Cyr"/>
        <charset val="204"/>
      </rPr>
      <t>(mijozlar uchun)</t>
    </r>
    <r>
      <rPr>
        <sz val="15"/>
        <rFont val="Arial Cyr"/>
        <charset val="204"/>
      </rPr>
      <t xml:space="preserve"> </t>
    </r>
  </si>
  <si>
    <r>
      <t xml:space="preserve">Kreslo </t>
    </r>
    <r>
      <rPr>
        <i/>
        <sz val="15"/>
        <rFont val="Arial Cyr"/>
        <charset val="204"/>
      </rPr>
      <t>(rahbar uchun)</t>
    </r>
  </si>
  <si>
    <r>
      <t xml:space="preserve">Shkaf </t>
    </r>
    <r>
      <rPr>
        <i/>
        <sz val="15"/>
        <rFont val="Arial Cyr"/>
        <charset val="204"/>
      </rPr>
      <t>(ofis uchun)</t>
    </r>
  </si>
  <si>
    <r>
      <t xml:space="preserve">Shkaf </t>
    </r>
    <r>
      <rPr>
        <i/>
        <sz val="15"/>
        <rFont val="Arial Cyr"/>
        <charset val="204"/>
      </rPr>
      <t>(kitoblar uchun)</t>
    </r>
  </si>
  <si>
    <r>
      <t xml:space="preserve">Shkaf </t>
    </r>
    <r>
      <rPr>
        <i/>
        <sz val="15"/>
        <rFont val="Arial Cyr"/>
        <charset val="204"/>
      </rPr>
      <t>(qo'shilgan)</t>
    </r>
  </si>
  <si>
    <r>
      <t xml:space="preserve">Shkaf </t>
    </r>
    <r>
      <rPr>
        <i/>
        <sz val="15"/>
        <rFont val="Arial Cyr"/>
        <charset val="204"/>
      </rPr>
      <t>(fayl boks)</t>
    </r>
  </si>
  <si>
    <r>
      <t xml:space="preserve">Shkaf </t>
    </r>
    <r>
      <rPr>
        <i/>
        <sz val="15"/>
        <rFont val="Arial Cyr"/>
        <charset val="204"/>
      </rPr>
      <t>(lokal tarmog'I uchun)</t>
    </r>
  </si>
  <si>
    <r>
      <t xml:space="preserve">Stol </t>
    </r>
    <r>
      <rPr>
        <i/>
        <sz val="15"/>
        <rFont val="Arial Cyr"/>
        <charset val="204"/>
      </rPr>
      <t>(tushlik uchun)</t>
    </r>
  </si>
  <si>
    <r>
      <t xml:space="preserve">Stul </t>
    </r>
    <r>
      <rPr>
        <i/>
        <sz val="15"/>
        <rFont val="Arial Cyr"/>
        <charset val="204"/>
      </rPr>
      <t>(oshxona uchun)</t>
    </r>
  </si>
  <si>
    <r>
      <t xml:space="preserve">Metall stellaj </t>
    </r>
    <r>
      <rPr>
        <i/>
        <sz val="15"/>
        <rFont val="Arial Cyr"/>
        <charset val="204"/>
      </rPr>
      <t>(arxiv, kassa va omborxona uchun)</t>
    </r>
  </si>
  <si>
    <r>
      <t>Printer - ko'p funktsiyali (</t>
    </r>
    <r>
      <rPr>
        <b/>
        <sz val="15"/>
        <rFont val="Arial Cyr"/>
        <charset val="204"/>
      </rPr>
      <t xml:space="preserve">А4 </t>
    </r>
    <r>
      <rPr>
        <sz val="15"/>
        <rFont val="Arial Cyr"/>
        <charset val="204"/>
      </rPr>
      <t>fortmatdagi 3tasi 1da)</t>
    </r>
  </si>
  <si>
    <r>
      <t>Printer (</t>
    </r>
    <r>
      <rPr>
        <b/>
        <sz val="15"/>
        <rFont val="Arial Cyr"/>
        <charset val="204"/>
      </rPr>
      <t xml:space="preserve">А4 </t>
    </r>
    <r>
      <rPr>
        <sz val="15"/>
        <rFont val="Arial Cyr"/>
        <charset val="204"/>
      </rPr>
      <t>formatdagi)</t>
    </r>
  </si>
  <si>
    <r>
      <t>Printer - ko'p funktsiyali (</t>
    </r>
    <r>
      <rPr>
        <b/>
        <sz val="15"/>
        <rFont val="Arial Cyr"/>
        <charset val="204"/>
      </rPr>
      <t>А3</t>
    </r>
    <r>
      <rPr>
        <sz val="15"/>
        <rFont val="Arial Cyr"/>
        <charset val="204"/>
      </rPr>
      <t xml:space="preserve"> fortmatdagi)</t>
    </r>
  </si>
  <si>
    <r>
      <t>Rangli printer - ko'p funktsiyali (</t>
    </r>
    <r>
      <rPr>
        <b/>
        <sz val="15"/>
        <rFont val="Arial Cyr"/>
        <charset val="204"/>
      </rPr>
      <t>А3</t>
    </r>
    <r>
      <rPr>
        <sz val="15"/>
        <rFont val="Arial Cyr"/>
        <charset val="204"/>
      </rPr>
      <t xml:space="preserve"> va </t>
    </r>
    <r>
      <rPr>
        <b/>
        <sz val="15"/>
        <rFont val="Arial Cyr"/>
        <charset val="204"/>
      </rPr>
      <t>A4</t>
    </r>
    <r>
      <rPr>
        <sz val="15"/>
        <rFont val="Arial Cyr"/>
        <charset val="204"/>
      </rPr>
      <t xml:space="preserve"> fortmatdagi)</t>
    </r>
  </si>
  <si>
    <r>
      <t xml:space="preserve">Uzluksiz oziqa ta'minoti </t>
    </r>
    <r>
      <rPr>
        <b/>
        <sz val="15"/>
        <rFont val="Arial Cyr"/>
        <charset val="204"/>
      </rPr>
      <t>(UPS)</t>
    </r>
  </si>
  <si>
    <r>
      <rPr>
        <b/>
        <sz val="15"/>
        <rFont val="Arial Cyr"/>
        <charset val="204"/>
      </rPr>
      <t>"Byudjetlashtirish"</t>
    </r>
    <r>
      <rPr>
        <sz val="15"/>
        <rFont val="Arial Cyr"/>
        <charset val="204"/>
      </rPr>
      <t xml:space="preserve"> quyi tizimi uchun serverlar va dasturiy ta'minot</t>
    </r>
  </si>
  <si>
    <r>
      <t xml:space="preserve">Asosiy va zaxira </t>
    </r>
    <r>
      <rPr>
        <b/>
        <sz val="15"/>
        <rFont val="Arial Cyr"/>
        <charset val="204"/>
      </rPr>
      <t>Ma'lumotlarni qayta ishlash markazlari</t>
    </r>
    <r>
      <rPr>
        <sz val="15"/>
        <rFont val="Arial Cyr"/>
        <charset val="204"/>
      </rPr>
      <t xml:space="preserve"> uchun injenerlik asbob-uskunalari</t>
    </r>
  </si>
  <si>
    <r>
      <t xml:space="preserve">Risk-Menejment, AML </t>
    </r>
    <r>
      <rPr>
        <sz val="15"/>
        <rFont val="Arial Cyr"/>
        <charset val="204"/>
      </rPr>
      <t>tizimi uchun serverlar va dasturiy ta'minot</t>
    </r>
  </si>
  <si>
    <r>
      <rPr>
        <b/>
        <sz val="15"/>
        <rFont val="Arial Cyr"/>
        <charset val="204"/>
      </rPr>
      <t>IABS</t>
    </r>
    <r>
      <rPr>
        <sz val="15"/>
        <rFont val="Arial Cyr"/>
        <charset val="204"/>
      </rPr>
      <t xml:space="preserve"> va boshqa tizimlarning qo'shimcha modullarini ishlab chiqish</t>
    </r>
  </si>
  <si>
    <r>
      <rPr>
        <b/>
        <sz val="15"/>
        <rFont val="Arial Cyr"/>
        <charset val="204"/>
      </rPr>
      <t xml:space="preserve">AML </t>
    </r>
    <r>
      <rPr>
        <sz val="15"/>
        <rFont val="Arial Cyr"/>
        <charset val="204"/>
      </rPr>
      <t>dasturiy ta'minoti</t>
    </r>
  </si>
  <si>
    <r>
      <rPr>
        <b/>
        <sz val="15"/>
        <rFont val="Arial Cyr"/>
        <charset val="204"/>
      </rPr>
      <t>Risk-Menejment</t>
    </r>
    <r>
      <rPr>
        <sz val="15"/>
        <rFont val="Arial Cyr"/>
        <charset val="204"/>
      </rPr>
      <t xml:space="preserve"> dasturiy ta'minoti</t>
    </r>
  </si>
  <si>
    <r>
      <rPr>
        <b/>
        <sz val="15"/>
        <rFont val="Arial Cyr"/>
        <charset val="204"/>
      </rPr>
      <t>Xodimlarni boshqarish</t>
    </r>
    <r>
      <rPr>
        <sz val="15"/>
        <rFont val="Arial Cyr"/>
        <charset val="204"/>
      </rPr>
      <t xml:space="preserve"> dasturiy ta'minoti</t>
    </r>
  </si>
  <si>
    <r>
      <t xml:space="preserve">Asosiy va zaxira Ma'lumotlarni qayta ishlash markazlari o'rtasida </t>
    </r>
    <r>
      <rPr>
        <b/>
        <sz val="15"/>
        <rFont val="Arial Cyr"/>
        <charset val="204"/>
      </rPr>
      <t>Optik tolali chiziq o'tkazish</t>
    </r>
  </si>
  <si>
    <r>
      <t xml:space="preserve">Styx client </t>
    </r>
    <r>
      <rPr>
        <sz val="15"/>
        <rFont val="Arial Cyr"/>
        <charset val="204"/>
      </rPr>
      <t>apparatli dasturiy kompleksi</t>
    </r>
  </si>
  <si>
    <r>
      <rPr>
        <b/>
        <sz val="15"/>
        <rFont val="Arial Cyr"/>
        <charset val="204"/>
      </rPr>
      <t xml:space="preserve">CA Linux </t>
    </r>
    <r>
      <rPr>
        <sz val="15"/>
        <rFont val="Arial Cyr"/>
        <charset val="204"/>
      </rPr>
      <t>server sertifikatsiyalash markazi dasturiy ta'minoti</t>
    </r>
  </si>
  <si>
    <r>
      <rPr>
        <b/>
        <sz val="15"/>
        <rFont val="Arial Cyr"/>
        <charset val="204"/>
      </rPr>
      <t>Cisco Firepower</t>
    </r>
    <r>
      <rPr>
        <sz val="15"/>
        <rFont val="Arial Cyr"/>
        <charset val="204"/>
      </rPr>
      <t xml:space="preserve"> 2110 NGFW Fayrvol</t>
    </r>
  </si>
  <si>
    <t xml:space="preserve"> __________________-sonli </t>
  </si>
  <si>
    <t>202____yil "_____" ____________</t>
  </si>
  <si>
    <t xml:space="preserve">“Oʼzsanoatqurilishbank” ATB boshqaruvining  </t>
  </si>
  <si>
    <t>Qaroriga ilova</t>
  </si>
  <si>
    <t>Jami:</t>
  </si>
  <si>
    <t>REJA</t>
  </si>
  <si>
    <t xml:space="preserve">  (ming so'm)</t>
  </si>
  <si>
    <t>Andijon</t>
  </si>
  <si>
    <t>Xonobod</t>
  </si>
  <si>
    <t>Bunyodkor</t>
  </si>
  <si>
    <t>Buxoro</t>
  </si>
  <si>
    <t>Qorovulbozor</t>
  </si>
  <si>
    <t>To'qimachilik</t>
  </si>
  <si>
    <t>Nukus</t>
  </si>
  <si>
    <t>Taxiyatosh</t>
  </si>
  <si>
    <t>Qo'ng'irot</t>
  </si>
  <si>
    <t>Qarshi</t>
  </si>
  <si>
    <t>Muborak</t>
  </si>
  <si>
    <t>Samarqand</t>
  </si>
  <si>
    <t>Amir Temur</t>
  </si>
  <si>
    <t>Termiz</t>
  </si>
  <si>
    <t>Sariosiyo</t>
  </si>
  <si>
    <t>Toshkent viloyati</t>
  </si>
  <si>
    <t>Chirchiq</t>
  </si>
  <si>
    <t>Qibray</t>
  </si>
  <si>
    <t>Angren</t>
  </si>
  <si>
    <t>Olmaliq</t>
  </si>
  <si>
    <t>Bekobod</t>
  </si>
  <si>
    <t>Toshkent shahar</t>
  </si>
  <si>
    <t>Uchtepa</t>
  </si>
  <si>
    <t>Olmazor</t>
  </si>
  <si>
    <t>Mirzo Ulug'bek</t>
  </si>
  <si>
    <t>Shaxriston</t>
  </si>
  <si>
    <t>Sergeli</t>
  </si>
  <si>
    <t>Mirobod</t>
  </si>
  <si>
    <t>Qatortol</t>
  </si>
  <si>
    <t>Chilonzor</t>
  </si>
  <si>
    <t>Yunusobod</t>
  </si>
  <si>
    <t>Yashnobod</t>
  </si>
  <si>
    <t>Al-Xorazmiy</t>
  </si>
  <si>
    <t>Rakat</t>
  </si>
  <si>
    <t>Labzak</t>
  </si>
  <si>
    <t>Farg'ona</t>
  </si>
  <si>
    <t>Kirguli</t>
  </si>
  <si>
    <t>Qo'qon</t>
  </si>
  <si>
    <t xml:space="preserve">menejment departamenti direktori </t>
  </si>
  <si>
    <t>O. Voxidov</t>
  </si>
  <si>
    <t>Front ofis uchun kamera</t>
  </si>
  <si>
    <t>Videokonferensiya aloqasi uchun kamera</t>
  </si>
  <si>
    <t>Lokal tarmoq uchun printer</t>
  </si>
  <si>
    <r>
      <t>Risk-Menejment</t>
    </r>
    <r>
      <rPr>
        <sz val="10"/>
        <rFont val="Arial Cyr"/>
        <charset val="204"/>
      </rPr>
      <t xml:space="preserve"> dasturiy ta'minoti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</si>
</sst>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Arial Cyr"/>
      <charset val="204"/>
    </font>
    <font>
      <sz val="11"/>
      <name val="Arial Cyr"/>
      <charset val="204"/>
    </font>
    <font>
      <sz val="10"/>
      <color rgb="FFFF0000"/>
      <name val="Arial Cyr"/>
      <family val="2"/>
      <charset val="204"/>
    </font>
    <font>
      <i/>
      <sz val="10"/>
      <name val="Arial Cyr"/>
      <charset val="204"/>
    </font>
    <font>
      <b/>
      <sz val="15"/>
      <name val="Arial Cyr"/>
      <charset val="204"/>
    </font>
    <font>
      <sz val="15"/>
      <name val="Arial Cyr"/>
      <charset val="204"/>
    </font>
    <font>
      <i/>
      <sz val="15"/>
      <name val="Arial Cyr"/>
      <charset val="204"/>
    </font>
    <font>
      <b/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24">
    <xf numFmtId="0" fontId="0" fillId="0" borderId="0" xfId="0"/>
    <xf numFmtId="0" fontId="1" fillId="0" borderId="0" xfId="0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Continuous"/>
      <protection locked="0"/>
    </xf>
    <xf numFmtId="3" fontId="2" fillId="2" borderId="0" xfId="0" applyNumberFormat="1" applyFont="1" applyFill="1" applyAlignment="1" applyProtection="1">
      <alignment horizontal="centerContinuous"/>
      <protection locked="0"/>
    </xf>
    <xf numFmtId="3" fontId="2" fillId="2" borderId="0" xfId="0" applyNumberFormat="1" applyFont="1" applyFill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3" fontId="2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2" fillId="2" borderId="0" xfId="0" applyFont="1" applyFill="1" applyProtection="1"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horizontal="center"/>
      <protection locked="0"/>
    </xf>
    <xf numFmtId="3" fontId="0" fillId="0" borderId="0" xfId="0" applyNumberFormat="1"/>
    <xf numFmtId="3" fontId="1" fillId="3" borderId="16" xfId="0" applyNumberFormat="1" applyFont="1" applyFill="1" applyBorder="1" applyAlignment="1" applyProtection="1">
      <alignment horizontal="center"/>
      <protection locked="0"/>
    </xf>
    <xf numFmtId="3" fontId="2" fillId="3" borderId="15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2" fillId="3" borderId="7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3" fontId="2" fillId="3" borderId="16" xfId="0" applyNumberFormat="1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9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7" fillId="3" borderId="0" xfId="0" applyFont="1" applyFill="1" applyAlignment="1">
      <alignment horizontal="center"/>
    </xf>
    <xf numFmtId="0" fontId="0" fillId="3" borderId="0" xfId="0" applyFill="1"/>
    <xf numFmtId="0" fontId="7" fillId="3" borderId="0" xfId="0" applyFont="1" applyFill="1"/>
    <xf numFmtId="0" fontId="7" fillId="3" borderId="0" xfId="0" applyFont="1" applyFill="1" applyAlignment="1">
      <alignment horizontal="center" wrapText="1"/>
    </xf>
    <xf numFmtId="3" fontId="0" fillId="3" borderId="0" xfId="0" applyNumberFormat="1" applyFill="1"/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165" fontId="2" fillId="0" borderId="0" xfId="1" applyNumberFormat="1" applyFont="1" applyBorder="1" applyProtection="1">
      <protection locked="0"/>
    </xf>
    <xf numFmtId="165" fontId="7" fillId="0" borderId="0" xfId="1" applyNumberFormat="1" applyFont="1" applyBorder="1" applyProtection="1">
      <protection locked="0"/>
    </xf>
    <xf numFmtId="165" fontId="7" fillId="0" borderId="0" xfId="1" applyNumberFormat="1" applyFont="1" applyProtection="1">
      <protection locked="0"/>
    </xf>
    <xf numFmtId="3" fontId="7" fillId="0" borderId="0" xfId="0" applyNumberFormat="1" applyFont="1"/>
    <xf numFmtId="3" fontId="7" fillId="3" borderId="0" xfId="0" applyNumberFormat="1" applyFont="1" applyFill="1"/>
    <xf numFmtId="3" fontId="11" fillId="3" borderId="24" xfId="0" applyNumberFormat="1" applyFont="1" applyFill="1" applyBorder="1" applyAlignment="1">
      <alignment horizontal="center"/>
    </xf>
    <xf numFmtId="0" fontId="2" fillId="3" borderId="24" xfId="0" applyFont="1" applyFill="1" applyBorder="1" applyAlignment="1" applyProtection="1">
      <alignment wrapText="1"/>
      <protection locked="0"/>
    </xf>
    <xf numFmtId="3" fontId="15" fillId="3" borderId="24" xfId="0" applyNumberFormat="1" applyFont="1" applyFill="1" applyBorder="1" applyAlignment="1">
      <alignment horizontal="center"/>
    </xf>
    <xf numFmtId="0" fontId="5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Protection="1">
      <protection locked="0"/>
    </xf>
    <xf numFmtId="1" fontId="2" fillId="3" borderId="0" xfId="0" applyNumberFormat="1" applyFont="1" applyFill="1" applyProtection="1">
      <protection locked="0"/>
    </xf>
    <xf numFmtId="3" fontId="2" fillId="3" borderId="24" xfId="0" applyNumberFormat="1" applyFont="1" applyFill="1" applyBorder="1" applyAlignment="1" applyProtection="1">
      <alignment horizontal="center"/>
      <protection locked="0"/>
    </xf>
    <xf numFmtId="3" fontId="2" fillId="3" borderId="0" xfId="0" applyNumberFormat="1" applyFont="1" applyFill="1" applyProtection="1">
      <protection locked="0"/>
    </xf>
    <xf numFmtId="3" fontId="2" fillId="3" borderId="0" xfId="0" applyNumberFormat="1" applyFont="1" applyFill="1" applyAlignment="1" applyProtection="1">
      <alignment horizontal="centerContinuous"/>
      <protection locked="0"/>
    </xf>
    <xf numFmtId="0" fontId="1" fillId="3" borderId="24" xfId="0" applyFont="1" applyFill="1" applyBorder="1" applyAlignment="1" applyProtection="1">
      <alignment horizontal="center"/>
      <protection locked="0"/>
    </xf>
    <xf numFmtId="3" fontId="0" fillId="3" borderId="24" xfId="0" applyNumberForma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3" fontId="1" fillId="3" borderId="4" xfId="0" applyNumberFormat="1" applyFont="1" applyFill="1" applyBorder="1" applyAlignment="1" applyProtection="1">
      <alignment horizontal="center"/>
      <protection locked="0"/>
    </xf>
    <xf numFmtId="3" fontId="2" fillId="3" borderId="14" xfId="0" applyNumberFormat="1" applyFont="1" applyFill="1" applyBorder="1" applyAlignment="1">
      <alignment horizontal="center"/>
    </xf>
    <xf numFmtId="3" fontId="2" fillId="4" borderId="6" xfId="0" applyNumberFormat="1" applyFont="1" applyFill="1" applyBorder="1" applyAlignment="1" applyProtection="1">
      <alignment horizontal="center"/>
      <protection locked="0"/>
    </xf>
    <xf numFmtId="3" fontId="2" fillId="4" borderId="24" xfId="0" applyNumberFormat="1" applyFont="1" applyFill="1" applyBorder="1" applyAlignment="1" applyProtection="1">
      <alignment horizontal="center"/>
      <protection locked="0"/>
    </xf>
    <xf numFmtId="3" fontId="2" fillId="4" borderId="28" xfId="0" applyNumberFormat="1" applyFont="1" applyFill="1" applyBorder="1" applyAlignment="1" applyProtection="1">
      <alignment horizontal="center"/>
      <protection locked="0"/>
    </xf>
    <xf numFmtId="3" fontId="1" fillId="3" borderId="13" xfId="0" applyNumberFormat="1" applyFont="1" applyFill="1" applyBorder="1" applyAlignment="1" applyProtection="1">
      <alignment horizontal="center"/>
      <protection locked="0"/>
    </xf>
    <xf numFmtId="3" fontId="1" fillId="3" borderId="14" xfId="0" applyNumberFormat="1" applyFont="1" applyFill="1" applyBorder="1" applyAlignment="1" applyProtection="1">
      <alignment horizontal="center"/>
      <protection locked="0"/>
    </xf>
    <xf numFmtId="3" fontId="1" fillId="3" borderId="10" xfId="0" applyNumberFormat="1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wrapText="1"/>
      <protection locked="0"/>
    </xf>
    <xf numFmtId="0" fontId="3" fillId="5" borderId="1" xfId="0" applyFont="1" applyFill="1" applyBorder="1" applyProtection="1">
      <protection locked="0"/>
    </xf>
    <xf numFmtId="0" fontId="3" fillId="5" borderId="2" xfId="0" applyFont="1" applyFill="1" applyBorder="1" applyAlignment="1" applyProtection="1">
      <alignment horizontal="centerContinuous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3" fontId="1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 applyProtection="1">
      <alignment horizontal="centerContinuous" vertical="center"/>
      <protection locked="0"/>
    </xf>
    <xf numFmtId="3" fontId="4" fillId="5" borderId="2" xfId="0" applyNumberFormat="1" applyFont="1" applyFill="1" applyBorder="1" applyAlignment="1" applyProtection="1">
      <alignment horizontal="centerContinuous" vertical="center"/>
      <protection locked="0"/>
    </xf>
    <xf numFmtId="0" fontId="5" fillId="5" borderId="2" xfId="0" applyFont="1" applyFill="1" applyBorder="1" applyProtection="1">
      <protection locked="0"/>
    </xf>
    <xf numFmtId="0" fontId="5" fillId="5" borderId="8" xfId="0" applyFont="1" applyFill="1" applyBorder="1" applyProtection="1">
      <protection locked="0"/>
    </xf>
    <xf numFmtId="3" fontId="4" fillId="5" borderId="8" xfId="0" applyNumberFormat="1" applyFont="1" applyFill="1" applyBorder="1" applyAlignment="1" applyProtection="1">
      <alignment horizontal="centerContinuous" vertical="center"/>
      <protection locked="0"/>
    </xf>
    <xf numFmtId="3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Protection="1">
      <protection locked="0"/>
    </xf>
    <xf numFmtId="0" fontId="3" fillId="5" borderId="8" xfId="0" applyFont="1" applyFill="1" applyBorder="1" applyAlignment="1" applyProtection="1">
      <alignment horizontal="centerContinuous"/>
      <protection locked="0"/>
    </xf>
    <xf numFmtId="0" fontId="3" fillId="5" borderId="9" xfId="0" applyFont="1" applyFill="1" applyBorder="1" applyAlignment="1" applyProtection="1">
      <alignment horizontal="centerContinuous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wrapText="1"/>
      <protection locked="0"/>
    </xf>
    <xf numFmtId="3" fontId="2" fillId="0" borderId="24" xfId="0" applyNumberFormat="1" applyFont="1" applyBorder="1" applyAlignment="1" applyProtection="1">
      <alignment horizontal="center"/>
      <protection locked="0"/>
    </xf>
    <xf numFmtId="3" fontId="2" fillId="0" borderId="24" xfId="0" applyNumberFormat="1" applyFont="1" applyBorder="1" applyAlignment="1">
      <alignment horizontal="center"/>
    </xf>
    <xf numFmtId="3" fontId="0" fillId="0" borderId="24" xfId="0" applyNumberFormat="1" applyBorder="1" applyAlignment="1" applyProtection="1">
      <alignment horizontal="center"/>
      <protection locked="0"/>
    </xf>
    <xf numFmtId="3" fontId="11" fillId="0" borderId="24" xfId="0" applyNumberFormat="1" applyFont="1" applyBorder="1" applyAlignment="1">
      <alignment horizontal="center"/>
    </xf>
    <xf numFmtId="165" fontId="1" fillId="0" borderId="0" xfId="1" applyNumberFormat="1" applyFont="1" applyFill="1" applyBorder="1" applyProtection="1">
      <protection locked="0"/>
    </xf>
    <xf numFmtId="0" fontId="1" fillId="5" borderId="31" xfId="0" applyFont="1" applyFill="1" applyBorder="1" applyAlignment="1" applyProtection="1">
      <alignment horizontal="center"/>
      <protection locked="0"/>
    </xf>
    <xf numFmtId="0" fontId="1" fillId="5" borderId="17" xfId="0" applyFont="1" applyFill="1" applyBorder="1" applyAlignment="1" applyProtection="1">
      <alignment horizontal="right" wrapText="1"/>
      <protection locked="0"/>
    </xf>
    <xf numFmtId="3" fontId="1" fillId="5" borderId="35" xfId="0" applyNumberFormat="1" applyFont="1" applyFill="1" applyBorder="1" applyAlignment="1" applyProtection="1">
      <alignment horizontal="center"/>
      <protection locked="0"/>
    </xf>
    <xf numFmtId="3" fontId="1" fillId="5" borderId="23" xfId="0" applyNumberFormat="1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35" xfId="0" applyFont="1" applyFill="1" applyBorder="1" applyAlignment="1" applyProtection="1">
      <alignment horizontal="right" wrapText="1"/>
      <protection locked="0"/>
    </xf>
    <xf numFmtId="0" fontId="1" fillId="5" borderId="35" xfId="0" applyFont="1" applyFill="1" applyBorder="1" applyAlignment="1" applyProtection="1">
      <alignment horizontal="center"/>
      <protection locked="0"/>
    </xf>
    <xf numFmtId="3" fontId="1" fillId="5" borderId="27" xfId="0" applyNumberFormat="1" applyFont="1" applyFill="1" applyBorder="1" applyAlignment="1" applyProtection="1">
      <alignment horizontal="center"/>
      <protection locked="0"/>
    </xf>
    <xf numFmtId="0" fontId="1" fillId="5" borderId="23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3" fontId="1" fillId="5" borderId="21" xfId="0" applyNumberFormat="1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right"/>
      <protection locked="0"/>
    </xf>
    <xf numFmtId="3" fontId="1" fillId="5" borderId="26" xfId="0" applyNumberFormat="1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3" fontId="1" fillId="3" borderId="11" xfId="0" applyNumberFormat="1" applyFont="1" applyFill="1" applyBorder="1" applyAlignment="1" applyProtection="1">
      <alignment horizontal="center"/>
      <protection locked="0"/>
    </xf>
    <xf numFmtId="3" fontId="1" fillId="3" borderId="19" xfId="0" applyNumberFormat="1" applyFont="1" applyFill="1" applyBorder="1" applyAlignment="1" applyProtection="1">
      <alignment horizontal="center"/>
      <protection locked="0"/>
    </xf>
    <xf numFmtId="3" fontId="2" fillId="3" borderId="20" xfId="0" applyNumberFormat="1" applyFont="1" applyFill="1" applyBorder="1" applyAlignment="1">
      <alignment horizontal="center"/>
    </xf>
    <xf numFmtId="0" fontId="1" fillId="3" borderId="24" xfId="0" applyFont="1" applyFill="1" applyBorder="1" applyProtection="1">
      <protection locked="0"/>
    </xf>
    <xf numFmtId="3" fontId="1" fillId="3" borderId="24" xfId="0" applyNumberFormat="1" applyFont="1" applyFill="1" applyBorder="1" applyAlignment="1" applyProtection="1">
      <alignment horizontal="center"/>
      <protection locked="0"/>
    </xf>
    <xf numFmtId="3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Protection="1">
      <protection locked="0"/>
    </xf>
    <xf numFmtId="3" fontId="2" fillId="3" borderId="16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2" fillId="3" borderId="24" xfId="0" applyNumberFormat="1" applyFont="1" applyFill="1" applyBorder="1" applyAlignment="1">
      <alignment horizontal="center"/>
    </xf>
    <xf numFmtId="3" fontId="11" fillId="3" borderId="30" xfId="0" applyNumberFormat="1" applyFont="1" applyFill="1" applyBorder="1" applyAlignment="1">
      <alignment horizontal="center"/>
    </xf>
    <xf numFmtId="0" fontId="0" fillId="3" borderId="24" xfId="0" applyFill="1" applyBorder="1" applyAlignment="1">
      <alignment horizontal="center" vertical="top"/>
    </xf>
    <xf numFmtId="3" fontId="2" fillId="3" borderId="11" xfId="0" applyNumberFormat="1" applyFont="1" applyFill="1" applyBorder="1" applyAlignment="1" applyProtection="1">
      <alignment horizontal="center"/>
      <protection locked="0"/>
    </xf>
    <xf numFmtId="3" fontId="16" fillId="3" borderId="24" xfId="0" applyNumberFormat="1" applyFont="1" applyFill="1" applyBorder="1" applyAlignment="1">
      <alignment horizontal="center"/>
    </xf>
    <xf numFmtId="165" fontId="2" fillId="3" borderId="0" xfId="1" applyNumberFormat="1" applyFont="1" applyFill="1" applyBorder="1" applyProtection="1">
      <protection locked="0"/>
    </xf>
    <xf numFmtId="0" fontId="1" fillId="5" borderId="8" xfId="0" applyFont="1" applyFill="1" applyBorder="1" applyAlignment="1" applyProtection="1">
      <alignment horizontal="right" wrapText="1"/>
      <protection locked="0"/>
    </xf>
    <xf numFmtId="3" fontId="1" fillId="5" borderId="1" xfId="0" applyNumberFormat="1" applyFont="1" applyFill="1" applyBorder="1" applyAlignment="1" applyProtection="1">
      <alignment horizontal="center"/>
      <protection locked="0"/>
    </xf>
    <xf numFmtId="3" fontId="1" fillId="5" borderId="9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19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 wrapText="1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3" fontId="2" fillId="3" borderId="33" xfId="0" applyNumberFormat="1" applyFont="1" applyFill="1" applyBorder="1" applyAlignment="1" applyProtection="1">
      <alignment horizontal="center"/>
      <protection locked="0"/>
    </xf>
    <xf numFmtId="0" fontId="2" fillId="3" borderId="24" xfId="0" applyFont="1" applyFill="1" applyBorder="1" applyProtection="1">
      <protection locked="0"/>
    </xf>
    <xf numFmtId="3" fontId="2" fillId="3" borderId="34" xfId="0" applyNumberFormat="1" applyFont="1" applyFill="1" applyBorder="1" applyAlignment="1" applyProtection="1">
      <alignment horizontal="center"/>
      <protection locked="0"/>
    </xf>
    <xf numFmtId="3" fontId="1" fillId="5" borderId="17" xfId="0" applyNumberFormat="1" applyFont="1" applyFill="1" applyBorder="1" applyAlignment="1" applyProtection="1">
      <alignment horizontal="center"/>
      <protection locked="0"/>
    </xf>
    <xf numFmtId="0" fontId="1" fillId="5" borderId="23" xfId="0" applyFont="1" applyFill="1" applyBorder="1" applyAlignment="1" applyProtection="1">
      <alignment horizontal="right"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vertical="center" wrapText="1"/>
      <protection locked="0"/>
    </xf>
    <xf numFmtId="1" fontId="1" fillId="3" borderId="0" xfId="0" applyNumberFormat="1" applyFont="1" applyFill="1" applyProtection="1">
      <protection locked="0"/>
    </xf>
    <xf numFmtId="1" fontId="1" fillId="3" borderId="5" xfId="0" applyNumberFormat="1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3" fontId="14" fillId="3" borderId="24" xfId="0" applyNumberFormat="1" applyFont="1" applyFill="1" applyBorder="1" applyAlignment="1">
      <alignment horizontal="center"/>
    </xf>
    <xf numFmtId="165" fontId="10" fillId="3" borderId="0" xfId="1" applyNumberFormat="1" applyFont="1" applyFill="1" applyBorder="1" applyProtection="1">
      <protection locked="0"/>
    </xf>
    <xf numFmtId="164" fontId="1" fillId="3" borderId="0" xfId="1" applyFont="1" applyFill="1" applyBorder="1" applyProtection="1">
      <protection locked="0"/>
    </xf>
    <xf numFmtId="1" fontId="3" fillId="5" borderId="1" xfId="0" applyNumberFormat="1" applyFont="1" applyFill="1" applyBorder="1" applyAlignment="1" applyProtection="1">
      <alignment horizontal="center"/>
      <protection locked="0"/>
    </xf>
    <xf numFmtId="1" fontId="3" fillId="5" borderId="9" xfId="0" applyNumberFormat="1" applyFont="1" applyFill="1" applyBorder="1" applyAlignment="1" applyProtection="1">
      <alignment horizontal="right" wrapText="1"/>
      <protection locked="0"/>
    </xf>
    <xf numFmtId="3" fontId="3" fillId="5" borderId="9" xfId="0" applyNumberFormat="1" applyFont="1" applyFill="1" applyBorder="1" applyAlignment="1" applyProtection="1">
      <alignment horizontal="center"/>
      <protection locked="0"/>
    </xf>
    <xf numFmtId="1" fontId="3" fillId="5" borderId="1" xfId="0" applyNumberFormat="1" applyFont="1" applyFill="1" applyBorder="1" applyAlignment="1" applyProtection="1">
      <alignment horizontal="right" wrapText="1"/>
      <protection locked="0"/>
    </xf>
    <xf numFmtId="1" fontId="3" fillId="5" borderId="8" xfId="0" applyNumberFormat="1" applyFont="1" applyFill="1" applyBorder="1" applyAlignment="1" applyProtection="1">
      <alignment horizontal="right" wrapText="1"/>
      <protection locked="0"/>
    </xf>
    <xf numFmtId="1" fontId="3" fillId="5" borderId="9" xfId="0" applyNumberFormat="1" applyFont="1" applyFill="1" applyBorder="1" applyAlignment="1" applyProtection="1">
      <alignment horizontal="center"/>
      <protection locked="0"/>
    </xf>
    <xf numFmtId="3" fontId="1" fillId="3" borderId="15" xfId="0" applyNumberFormat="1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3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1" fillId="5" borderId="40" xfId="0" applyFont="1" applyFill="1" applyBorder="1" applyAlignment="1" applyProtection="1">
      <alignment horizontal="center" vertical="center" wrapText="1"/>
      <protection locked="0"/>
    </xf>
    <xf numFmtId="0" fontId="1" fillId="5" borderId="38" xfId="0" applyFont="1" applyFill="1" applyBorder="1" applyAlignment="1" applyProtection="1">
      <alignment horizontal="center" vertical="center" wrapText="1"/>
      <protection locked="0"/>
    </xf>
    <xf numFmtId="3" fontId="1" fillId="5" borderId="3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4" xfId="0" applyNumberFormat="1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wrapText="1"/>
      <protection locked="0"/>
    </xf>
    <xf numFmtId="3" fontId="2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horizontal="right" wrapText="1"/>
      <protection locked="0"/>
    </xf>
    <xf numFmtId="3" fontId="1" fillId="5" borderId="24" xfId="0" applyNumberFormat="1" applyFont="1" applyFill="1" applyBorder="1" applyAlignment="1" applyProtection="1">
      <alignment horizontal="center"/>
      <protection locked="0"/>
    </xf>
    <xf numFmtId="0" fontId="1" fillId="5" borderId="41" xfId="0" applyFont="1" applyFill="1" applyBorder="1" applyAlignment="1" applyProtection="1">
      <alignment horizontal="right" wrapText="1"/>
      <protection locked="0"/>
    </xf>
    <xf numFmtId="3" fontId="1" fillId="5" borderId="41" xfId="0" applyNumberFormat="1" applyFont="1" applyFill="1" applyBorder="1" applyAlignment="1" applyProtection="1">
      <alignment horizontal="center"/>
      <protection locked="0"/>
    </xf>
    <xf numFmtId="0" fontId="1" fillId="5" borderId="40" xfId="0" applyFont="1" applyFill="1" applyBorder="1" applyAlignment="1" applyProtection="1">
      <alignment horizontal="center"/>
      <protection locked="0"/>
    </xf>
    <xf numFmtId="0" fontId="1" fillId="5" borderId="42" xfId="0" applyFont="1" applyFill="1" applyBorder="1" applyAlignment="1" applyProtection="1">
      <alignment horizontal="right" wrapText="1"/>
      <protection locked="0"/>
    </xf>
    <xf numFmtId="3" fontId="1" fillId="5" borderId="42" xfId="0" applyNumberFormat="1" applyFont="1" applyFill="1" applyBorder="1" applyAlignment="1" applyProtection="1">
      <alignment horizontal="center"/>
      <protection locked="0"/>
    </xf>
    <xf numFmtId="3" fontId="1" fillId="5" borderId="36" xfId="0" applyNumberFormat="1" applyFont="1" applyFill="1" applyBorder="1" applyAlignment="1" applyProtection="1">
      <alignment horizontal="center"/>
      <protection locked="0"/>
    </xf>
    <xf numFmtId="0" fontId="1" fillId="3" borderId="43" xfId="0" applyFont="1" applyFill="1" applyBorder="1" applyAlignment="1" applyProtection="1">
      <alignment horizontal="center"/>
      <protection locked="0"/>
    </xf>
    <xf numFmtId="0" fontId="1" fillId="3" borderId="44" xfId="0" applyFont="1" applyFill="1" applyBorder="1" applyProtection="1">
      <protection locked="0"/>
    </xf>
    <xf numFmtId="3" fontId="1" fillId="3" borderId="44" xfId="0" applyNumberFormat="1" applyFont="1" applyFill="1" applyBorder="1" applyAlignment="1" applyProtection="1">
      <alignment horizontal="center"/>
      <protection locked="0"/>
    </xf>
    <xf numFmtId="3" fontId="2" fillId="3" borderId="44" xfId="0" applyNumberFormat="1" applyFont="1" applyFill="1" applyBorder="1" applyAlignment="1">
      <alignment horizontal="center"/>
    </xf>
    <xf numFmtId="3" fontId="1" fillId="3" borderId="45" xfId="0" applyNumberFormat="1" applyFont="1" applyFill="1" applyBorder="1" applyAlignment="1" applyProtection="1">
      <alignment horizontal="center"/>
      <protection locked="0"/>
    </xf>
    <xf numFmtId="3" fontId="2" fillId="3" borderId="7" xfId="0" applyNumberFormat="1" applyFont="1" applyFill="1" applyBorder="1" applyAlignment="1" applyProtection="1">
      <alignment horizontal="center"/>
      <protection locked="0"/>
    </xf>
    <xf numFmtId="0" fontId="1" fillId="3" borderId="46" xfId="0" applyFont="1" applyFill="1" applyBorder="1" applyAlignment="1" applyProtection="1">
      <alignment horizontal="center"/>
      <protection locked="0"/>
    </xf>
    <xf numFmtId="0" fontId="2" fillId="3" borderId="39" xfId="0" applyFont="1" applyFill="1" applyBorder="1" applyAlignment="1" applyProtection="1">
      <alignment wrapText="1"/>
      <protection locked="0"/>
    </xf>
    <xf numFmtId="3" fontId="11" fillId="3" borderId="39" xfId="0" applyNumberFormat="1" applyFont="1" applyFill="1" applyBorder="1" applyAlignment="1">
      <alignment horizontal="center"/>
    </xf>
    <xf numFmtId="3" fontId="2" fillId="3" borderId="39" xfId="0" applyNumberFormat="1" applyFont="1" applyFill="1" applyBorder="1" applyAlignment="1">
      <alignment horizontal="center"/>
    </xf>
    <xf numFmtId="3" fontId="0" fillId="3" borderId="39" xfId="0" applyNumberFormat="1" applyFill="1" applyBorder="1" applyAlignment="1" applyProtection="1">
      <alignment horizontal="center"/>
      <protection locked="0"/>
    </xf>
    <xf numFmtId="3" fontId="2" fillId="3" borderId="47" xfId="0" applyNumberFormat="1" applyFont="1" applyFill="1" applyBorder="1" applyAlignment="1" applyProtection="1">
      <alignment horizontal="center"/>
      <protection locked="0"/>
    </xf>
    <xf numFmtId="0" fontId="1" fillId="3" borderId="32" xfId="0" applyFon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 applyProtection="1">
      <alignment wrapText="1"/>
      <protection locked="0"/>
    </xf>
    <xf numFmtId="3" fontId="2" fillId="3" borderId="30" xfId="0" applyNumberFormat="1" applyFont="1" applyFill="1" applyBorder="1" applyAlignment="1">
      <alignment horizontal="center"/>
    </xf>
    <xf numFmtId="3" fontId="0" fillId="3" borderId="30" xfId="0" applyNumberFormat="1" applyFill="1" applyBorder="1" applyAlignment="1" applyProtection="1">
      <alignment horizontal="center"/>
      <protection locked="0"/>
    </xf>
    <xf numFmtId="3" fontId="2" fillId="3" borderId="29" xfId="0" applyNumberFormat="1" applyFont="1" applyFill="1" applyBorder="1" applyAlignment="1" applyProtection="1">
      <alignment horizontal="center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2" fillId="3" borderId="24" xfId="0" applyFont="1" applyFill="1" applyBorder="1" applyAlignment="1" applyProtection="1">
      <alignment horizontal="left" wrapText="1"/>
      <protection locked="0"/>
    </xf>
    <xf numFmtId="0" fontId="1" fillId="3" borderId="44" xfId="0" applyFont="1" applyFill="1" applyBorder="1" applyAlignment="1" applyProtection="1">
      <alignment horizontal="left"/>
      <protection locked="0"/>
    </xf>
    <xf numFmtId="0" fontId="6" fillId="3" borderId="46" xfId="0" applyFont="1" applyFill="1" applyBorder="1" applyAlignment="1" applyProtection="1">
      <alignment horizontal="center"/>
      <protection locked="0"/>
    </xf>
    <xf numFmtId="3" fontId="1" fillId="3" borderId="39" xfId="0" applyNumberFormat="1" applyFont="1" applyFill="1" applyBorder="1" applyAlignment="1" applyProtection="1">
      <alignment horizontal="center"/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3" fontId="1" fillId="3" borderId="30" xfId="0" applyNumberFormat="1" applyFont="1" applyFill="1" applyBorder="1" applyAlignment="1" applyProtection="1">
      <alignment horizontal="center"/>
      <protection locked="0"/>
    </xf>
    <xf numFmtId="0" fontId="2" fillId="3" borderId="39" xfId="0" applyFont="1" applyFill="1" applyBorder="1" applyProtection="1">
      <protection locked="0"/>
    </xf>
    <xf numFmtId="3" fontId="2" fillId="3" borderId="39" xfId="0" applyNumberFormat="1" applyFont="1" applyFill="1" applyBorder="1" applyAlignment="1" applyProtection="1">
      <alignment horizontal="center"/>
      <protection locked="0"/>
    </xf>
    <xf numFmtId="0" fontId="2" fillId="3" borderId="30" xfId="0" applyFont="1" applyFill="1" applyBorder="1" applyProtection="1">
      <protection locked="0"/>
    </xf>
    <xf numFmtId="3" fontId="2" fillId="3" borderId="30" xfId="0" applyNumberFormat="1" applyFont="1" applyFill="1" applyBorder="1" applyAlignment="1" applyProtection="1">
      <alignment horizontal="center"/>
      <protection locked="0"/>
    </xf>
    <xf numFmtId="0" fontId="2" fillId="3" borderId="39" xfId="0" applyFont="1" applyFill="1" applyBorder="1" applyAlignment="1" applyProtection="1">
      <alignment horizontal="left" wrapText="1"/>
      <protection locked="0"/>
    </xf>
    <xf numFmtId="0" fontId="2" fillId="3" borderId="30" xfId="0" applyFont="1" applyFill="1" applyBorder="1" applyAlignment="1" applyProtection="1">
      <alignment horizontal="left" wrapText="1"/>
      <protection locked="0"/>
    </xf>
    <xf numFmtId="0" fontId="2" fillId="3" borderId="24" xfId="0" applyFont="1" applyFill="1" applyBorder="1" applyAlignment="1" applyProtection="1">
      <alignment vertical="center" wrapText="1"/>
      <protection locked="0"/>
    </xf>
    <xf numFmtId="1" fontId="1" fillId="3" borderId="24" xfId="0" applyNumberFormat="1" applyFont="1" applyFill="1" applyBorder="1" applyAlignment="1" applyProtection="1">
      <alignment horizontal="center"/>
      <protection locked="0"/>
    </xf>
    <xf numFmtId="1" fontId="1" fillId="3" borderId="24" xfId="0" applyNumberFormat="1" applyFont="1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1" fontId="1" fillId="3" borderId="43" xfId="0" applyNumberFormat="1" applyFont="1" applyFill="1" applyBorder="1" applyAlignment="1" applyProtection="1">
      <alignment horizontal="center"/>
      <protection locked="0"/>
    </xf>
    <xf numFmtId="1" fontId="1" fillId="3" borderId="44" xfId="0" applyNumberFormat="1" applyFont="1" applyFill="1" applyBorder="1" applyAlignment="1" applyProtection="1">
      <alignment horizontal="left"/>
      <protection locked="0"/>
    </xf>
    <xf numFmtId="3" fontId="2" fillId="3" borderId="14" xfId="0" applyNumberFormat="1" applyFont="1" applyFill="1" applyBorder="1" applyAlignment="1" applyProtection="1">
      <alignment horizontal="center"/>
      <protection locked="0"/>
    </xf>
    <xf numFmtId="3" fontId="2" fillId="3" borderId="44" xfId="0" applyNumberFormat="1" applyFont="1" applyFill="1" applyBorder="1" applyAlignment="1" applyProtection="1">
      <alignment horizontal="center"/>
      <protection locked="0"/>
    </xf>
    <xf numFmtId="3" fontId="2" fillId="3" borderId="45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2" fillId="3" borderId="25" xfId="0" applyFont="1" applyFill="1" applyBorder="1" applyAlignment="1" applyProtection="1">
      <alignment wrapText="1"/>
      <protection locked="0"/>
    </xf>
    <xf numFmtId="3" fontId="2" fillId="3" borderId="19" xfId="0" applyNumberFormat="1" applyFont="1" applyFill="1" applyBorder="1" applyAlignment="1" applyProtection="1">
      <alignment horizontal="center"/>
      <protection locked="0"/>
    </xf>
    <xf numFmtId="1" fontId="3" fillId="5" borderId="3" xfId="0" applyNumberFormat="1" applyFont="1" applyFill="1" applyBorder="1" applyAlignment="1" applyProtection="1">
      <alignment horizontal="center"/>
      <protection locked="0"/>
    </xf>
    <xf numFmtId="1" fontId="3" fillId="5" borderId="41" xfId="0" applyNumberFormat="1" applyFont="1" applyFill="1" applyBorder="1" applyAlignment="1" applyProtection="1">
      <alignment horizontal="right" wrapText="1"/>
      <protection locked="0"/>
    </xf>
    <xf numFmtId="3" fontId="3" fillId="5" borderId="41" xfId="0" applyNumberFormat="1" applyFont="1" applyFill="1" applyBorder="1" applyAlignment="1" applyProtection="1">
      <alignment horizontal="center"/>
      <protection locked="0"/>
    </xf>
    <xf numFmtId="3" fontId="3" fillId="5" borderId="21" xfId="0" applyNumberFormat="1" applyFont="1" applyFill="1" applyBorder="1" applyAlignment="1" applyProtection="1">
      <alignment horizontal="center"/>
      <protection locked="0"/>
    </xf>
    <xf numFmtId="3" fontId="1" fillId="3" borderId="42" xfId="0" applyNumberFormat="1" applyFont="1" applyFill="1" applyBorder="1" applyAlignment="1" applyProtection="1">
      <alignment horizontal="center"/>
      <protection locked="0"/>
    </xf>
    <xf numFmtId="3" fontId="1" fillId="0" borderId="7" xfId="0" applyNumberFormat="1" applyFont="1" applyBorder="1" applyAlignment="1" applyProtection="1">
      <alignment horizontal="center"/>
      <protection locked="0"/>
    </xf>
    <xf numFmtId="3" fontId="2" fillId="0" borderId="7" xfId="0" applyNumberFormat="1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3" fontId="11" fillId="0" borderId="39" xfId="0" applyNumberFormat="1" applyFont="1" applyBorder="1" applyAlignment="1">
      <alignment horizontal="center"/>
    </xf>
    <xf numFmtId="3" fontId="1" fillId="0" borderId="39" xfId="0" applyNumberFormat="1" applyFont="1" applyBorder="1" applyAlignment="1" applyProtection="1">
      <alignment horizontal="center"/>
      <protection locked="0"/>
    </xf>
    <xf numFmtId="3" fontId="2" fillId="0" borderId="47" xfId="0" applyNumberFormat="1" applyFont="1" applyBorder="1" applyAlignment="1" applyProtection="1">
      <alignment horizontal="center"/>
      <protection locked="0"/>
    </xf>
    <xf numFmtId="3" fontId="1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39" xfId="0" applyNumberFormat="1" applyFont="1" applyBorder="1" applyAlignment="1" applyProtection="1">
      <alignment horizontal="center"/>
      <protection locked="0"/>
    </xf>
    <xf numFmtId="3" fontId="2" fillId="0" borderId="39" xfId="0" applyNumberFormat="1" applyFont="1" applyBorder="1" applyAlignment="1">
      <alignment horizontal="center"/>
    </xf>
    <xf numFmtId="0" fontId="1" fillId="5" borderId="18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right" wrapText="1"/>
      <protection locked="0"/>
    </xf>
    <xf numFmtId="3" fontId="1" fillId="5" borderId="5" xfId="0" applyNumberFormat="1" applyFont="1" applyFill="1" applyBorder="1" applyAlignment="1" applyProtection="1">
      <alignment horizontal="center"/>
      <protection locked="0"/>
    </xf>
    <xf numFmtId="0" fontId="1" fillId="3" borderId="40" xfId="0" applyFont="1" applyFill="1" applyBorder="1" applyAlignment="1" applyProtection="1">
      <alignment horizontal="center"/>
      <protection locked="0"/>
    </xf>
    <xf numFmtId="0" fontId="2" fillId="3" borderId="42" xfId="0" applyFont="1" applyFill="1" applyBorder="1" applyAlignment="1" applyProtection="1">
      <alignment wrapText="1"/>
      <protection locked="0"/>
    </xf>
    <xf numFmtId="3" fontId="2" fillId="3" borderId="42" xfId="0" applyNumberFormat="1" applyFont="1" applyFill="1" applyBorder="1" applyAlignment="1" applyProtection="1">
      <alignment horizontal="center"/>
      <protection locked="0"/>
    </xf>
    <xf numFmtId="3" fontId="1" fillId="3" borderId="36" xfId="0" applyNumberFormat="1" applyFont="1" applyFill="1" applyBorder="1" applyAlignment="1" applyProtection="1">
      <alignment horizontal="center"/>
      <protection locked="0"/>
    </xf>
    <xf numFmtId="3" fontId="2" fillId="4" borderId="39" xfId="0" applyNumberFormat="1" applyFont="1" applyFill="1" applyBorder="1" applyAlignment="1" applyProtection="1">
      <alignment horizontal="center"/>
      <protection locked="0"/>
    </xf>
    <xf numFmtId="3" fontId="2" fillId="4" borderId="44" xfId="0" applyNumberFormat="1" applyFont="1" applyFill="1" applyBorder="1" applyAlignment="1" applyProtection="1">
      <alignment horizontal="center"/>
      <protection locked="0"/>
    </xf>
    <xf numFmtId="3" fontId="2" fillId="4" borderId="30" xfId="0" applyNumberFormat="1" applyFont="1" applyFill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44" xfId="0" applyFont="1" applyBorder="1" applyProtection="1">
      <protection locked="0"/>
    </xf>
    <xf numFmtId="3" fontId="1" fillId="0" borderId="44" xfId="0" applyNumberFormat="1" applyFont="1" applyBorder="1" applyAlignment="1" applyProtection="1">
      <alignment horizontal="center"/>
      <protection locked="0"/>
    </xf>
    <xf numFmtId="3" fontId="2" fillId="0" borderId="44" xfId="0" applyNumberFormat="1" applyFont="1" applyBorder="1" applyAlignment="1">
      <alignment horizontal="center"/>
    </xf>
    <xf numFmtId="3" fontId="1" fillId="0" borderId="45" xfId="0" applyNumberFormat="1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3" fontId="2" fillId="0" borderId="29" xfId="0" applyNumberFormat="1" applyFont="1" applyBorder="1" applyAlignment="1" applyProtection="1">
      <alignment horizontal="center"/>
      <protection locked="0"/>
    </xf>
    <xf numFmtId="3" fontId="15" fillId="3" borderId="30" xfId="0" applyNumberFormat="1" applyFont="1" applyFill="1" applyBorder="1" applyAlignment="1">
      <alignment horizontal="center"/>
    </xf>
    <xf numFmtId="0" fontId="1" fillId="5" borderId="30" xfId="0" applyFont="1" applyFill="1" applyBorder="1" applyAlignment="1" applyProtection="1">
      <alignment horizontal="center"/>
      <protection locked="0"/>
    </xf>
    <xf numFmtId="0" fontId="1" fillId="5" borderId="30" xfId="0" applyFont="1" applyFill="1" applyBorder="1" applyAlignment="1" applyProtection="1">
      <alignment horizontal="right" wrapText="1"/>
      <protection locked="0"/>
    </xf>
    <xf numFmtId="3" fontId="1" fillId="5" borderId="30" xfId="0" applyNumberFormat="1" applyFont="1" applyFill="1" applyBorder="1" applyAlignment="1" applyProtection="1">
      <alignment horizontal="center"/>
      <protection locked="0"/>
    </xf>
    <xf numFmtId="0" fontId="2" fillId="3" borderId="26" xfId="0" applyFont="1" applyFill="1" applyBorder="1" applyAlignment="1" applyProtection="1">
      <alignment wrapText="1"/>
      <protection locked="0"/>
    </xf>
    <xf numFmtId="3" fontId="11" fillId="3" borderId="44" xfId="0" applyNumberFormat="1" applyFont="1" applyFill="1" applyBorder="1" applyAlignment="1">
      <alignment horizontal="center"/>
    </xf>
    <xf numFmtId="0" fontId="1" fillId="5" borderId="48" xfId="0" applyFont="1" applyFill="1" applyBorder="1" applyAlignment="1" applyProtection="1">
      <alignment horizontal="right" wrapText="1"/>
      <protection locked="0"/>
    </xf>
    <xf numFmtId="3" fontId="1" fillId="5" borderId="48" xfId="0" applyNumberFormat="1" applyFont="1" applyFill="1" applyBorder="1" applyAlignment="1" applyProtection="1">
      <alignment horizontal="center"/>
      <protection locked="0"/>
    </xf>
    <xf numFmtId="0" fontId="1" fillId="5" borderId="37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right" wrapText="1"/>
      <protection locked="0"/>
    </xf>
    <xf numFmtId="0" fontId="1" fillId="3" borderId="34" xfId="0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 applyProtection="1">
      <alignment horizontal="left" wrapText="1"/>
      <protection locked="0"/>
    </xf>
    <xf numFmtId="3" fontId="2" fillId="3" borderId="19" xfId="0" applyNumberFormat="1" applyFont="1" applyFill="1" applyBorder="1" applyAlignment="1">
      <alignment horizontal="center"/>
    </xf>
    <xf numFmtId="0" fontId="1" fillId="3" borderId="13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0" fillId="3" borderId="30" xfId="0" applyFill="1" applyBorder="1" applyAlignment="1">
      <alignment horizontal="center" vertical="top"/>
    </xf>
    <xf numFmtId="3" fontId="2" fillId="3" borderId="0" xfId="0" applyNumberFormat="1" applyFont="1" applyFill="1" applyAlignment="1">
      <alignment horizontal="center"/>
    </xf>
    <xf numFmtId="3" fontId="11" fillId="3" borderId="7" xfId="0" applyNumberFormat="1" applyFont="1" applyFill="1" applyBorder="1" applyAlignment="1">
      <alignment horizontal="center"/>
    </xf>
    <xf numFmtId="3" fontId="1" fillId="2" borderId="44" xfId="0" applyNumberFormat="1" applyFont="1" applyFill="1" applyBorder="1" applyAlignment="1" applyProtection="1">
      <alignment horizontal="center"/>
      <protection locked="0"/>
    </xf>
    <xf numFmtId="3" fontId="1" fillId="2" borderId="45" xfId="0" applyNumberFormat="1" applyFont="1" applyFill="1" applyBorder="1" applyAlignment="1" applyProtection="1">
      <alignment horizontal="center"/>
      <protection locked="0"/>
    </xf>
    <xf numFmtId="3" fontId="0" fillId="0" borderId="7" xfId="0" applyNumberFormat="1" applyBorder="1" applyAlignment="1" applyProtection="1">
      <alignment horizontal="center"/>
      <protection locked="0"/>
    </xf>
    <xf numFmtId="3" fontId="0" fillId="0" borderId="30" xfId="0" applyNumberFormat="1" applyBorder="1" applyAlignment="1" applyProtection="1">
      <alignment horizontal="center"/>
      <protection locked="0"/>
    </xf>
    <xf numFmtId="3" fontId="0" fillId="0" borderId="29" xfId="0" applyNumberFormat="1" applyBorder="1" applyAlignment="1" applyProtection="1">
      <alignment horizontal="center"/>
      <protection locked="0"/>
    </xf>
    <xf numFmtId="0" fontId="1" fillId="5" borderId="42" xfId="0" applyFont="1" applyFill="1" applyBorder="1" applyAlignment="1" applyProtection="1">
      <alignment horizontal="right"/>
      <protection locked="0"/>
    </xf>
    <xf numFmtId="0" fontId="1" fillId="5" borderId="42" xfId="0" applyFont="1" applyFill="1" applyBorder="1" applyAlignment="1" applyProtection="1">
      <alignment horizontal="center"/>
      <protection locked="0"/>
    </xf>
    <xf numFmtId="0" fontId="1" fillId="5" borderId="36" xfId="0" applyFont="1" applyFill="1" applyBorder="1" applyAlignment="1" applyProtection="1">
      <alignment horizontal="center"/>
      <protection locked="0"/>
    </xf>
    <xf numFmtId="3" fontId="7" fillId="3" borderId="44" xfId="0" applyNumberFormat="1" applyFont="1" applyFill="1" applyBorder="1" applyAlignment="1" applyProtection="1">
      <alignment horizontal="center"/>
      <protection locked="0"/>
    </xf>
    <xf numFmtId="3" fontId="7" fillId="3" borderId="45" xfId="0" applyNumberFormat="1" applyFont="1" applyFill="1" applyBorder="1" applyAlignment="1" applyProtection="1">
      <alignment horizontal="center"/>
      <protection locked="0"/>
    </xf>
    <xf numFmtId="0" fontId="1" fillId="5" borderId="19" xfId="0" applyFont="1" applyFill="1" applyBorder="1" applyAlignment="1" applyProtection="1">
      <alignment horizontal="center"/>
      <protection locked="0"/>
    </xf>
    <xf numFmtId="0" fontId="1" fillId="5" borderId="22" xfId="0" applyFont="1" applyFill="1" applyBorder="1" applyAlignment="1" applyProtection="1">
      <alignment horizontal="center" vertical="center" wrapText="1"/>
      <protection locked="0"/>
    </xf>
    <xf numFmtId="3" fontId="1" fillId="5" borderId="4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7" xfId="0" applyNumberFormat="1" applyFill="1" applyBorder="1" applyAlignment="1" applyProtection="1">
      <alignment horizontal="center"/>
      <protection locked="0"/>
    </xf>
    <xf numFmtId="3" fontId="0" fillId="3" borderId="47" xfId="0" applyNumberFormat="1" applyFill="1" applyBorder="1" applyAlignment="1" applyProtection="1">
      <alignment horizontal="center"/>
      <protection locked="0"/>
    </xf>
    <xf numFmtId="3" fontId="7" fillId="5" borderId="18" xfId="0" applyNumberFormat="1" applyFont="1" applyFill="1" applyBorder="1" applyAlignment="1" applyProtection="1">
      <alignment horizontal="center"/>
      <protection locked="0"/>
    </xf>
    <xf numFmtId="0" fontId="1" fillId="5" borderId="19" xfId="0" applyFont="1" applyFill="1" applyBorder="1" applyAlignment="1" applyProtection="1">
      <alignment horizontal="right" wrapText="1"/>
      <protection locked="0"/>
    </xf>
    <xf numFmtId="0" fontId="1" fillId="5" borderId="37" xfId="0" applyFont="1" applyFill="1" applyBorder="1" applyAlignment="1" applyProtection="1">
      <alignment horizontal="center"/>
      <protection locked="0"/>
    </xf>
    <xf numFmtId="0" fontId="1" fillId="5" borderId="22" xfId="0" applyFont="1" applyFill="1" applyBorder="1" applyAlignment="1" applyProtection="1">
      <alignment horizontal="right" wrapText="1"/>
      <protection locked="0"/>
    </xf>
    <xf numFmtId="3" fontId="1" fillId="5" borderId="49" xfId="0" applyNumberFormat="1" applyFont="1" applyFill="1" applyBorder="1" applyAlignment="1" applyProtection="1">
      <alignment horizontal="center"/>
      <protection locked="0"/>
    </xf>
    <xf numFmtId="3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3" fontId="2" fillId="3" borderId="24" xfId="0" applyNumberFormat="1" applyFont="1" applyFill="1" applyBorder="1" applyAlignment="1" applyProtection="1">
      <alignment horizontal="centerContinuous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3" fontId="1" fillId="5" borderId="7" xfId="0" applyNumberFormat="1" applyFont="1" applyFill="1" applyBorder="1" applyAlignment="1" applyProtection="1">
      <alignment horizontal="center"/>
      <protection locked="0"/>
    </xf>
    <xf numFmtId="1" fontId="1" fillId="3" borderId="6" xfId="0" applyNumberFormat="1" applyFont="1" applyFill="1" applyBorder="1" applyAlignment="1" applyProtection="1">
      <alignment horizontal="center"/>
      <protection locked="0"/>
    </xf>
    <xf numFmtId="3" fontId="1" fillId="3" borderId="0" xfId="0" applyNumberFormat="1" applyFont="1" applyFill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3" fontId="0" fillId="3" borderId="29" xfId="0" applyNumberFormat="1" applyFill="1" applyBorder="1" applyAlignment="1" applyProtection="1">
      <alignment horizontal="center"/>
      <protection locked="0"/>
    </xf>
    <xf numFmtId="3" fontId="7" fillId="5" borderId="42" xfId="0" applyNumberFormat="1" applyFont="1" applyFill="1" applyBorder="1" applyAlignment="1" applyProtection="1">
      <alignment horizontal="center"/>
      <protection locked="0"/>
    </xf>
    <xf numFmtId="0" fontId="1" fillId="5" borderId="49" xfId="0" applyFont="1" applyFill="1" applyBorder="1" applyAlignment="1" applyProtection="1">
      <alignment horizontal="center" vertical="center" wrapText="1"/>
      <protection locked="0"/>
    </xf>
    <xf numFmtId="0" fontId="1" fillId="5" borderId="48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Protection="1">
      <protection locked="0"/>
    </xf>
    <xf numFmtId="0" fontId="1" fillId="3" borderId="30" xfId="0" applyFont="1" applyFill="1" applyBorder="1" applyProtection="1">
      <protection locked="0"/>
    </xf>
    <xf numFmtId="0" fontId="1" fillId="3" borderId="29" xfId="0" applyFont="1" applyFill="1" applyBorder="1" applyProtection="1">
      <protection locked="0"/>
    </xf>
    <xf numFmtId="0" fontId="1" fillId="5" borderId="49" xfId="0" applyFont="1" applyFill="1" applyBorder="1" applyAlignment="1" applyProtection="1">
      <alignment horizontal="right" wrapText="1"/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7" fillId="5" borderId="4" xfId="0" applyFont="1" applyFill="1" applyBorder="1" applyAlignment="1" applyProtection="1">
      <alignment horizontal="right" wrapText="1"/>
      <protection locked="0"/>
    </xf>
    <xf numFmtId="3" fontId="7" fillId="5" borderId="19" xfId="0" applyNumberFormat="1" applyFont="1" applyFill="1" applyBorder="1" applyAlignment="1">
      <alignment horizontal="center"/>
    </xf>
    <xf numFmtId="0" fontId="1" fillId="3" borderId="50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wrapText="1"/>
      <protection locked="0"/>
    </xf>
    <xf numFmtId="3" fontId="2" fillId="3" borderId="25" xfId="0" applyNumberFormat="1" applyFont="1" applyFill="1" applyBorder="1" applyAlignment="1" applyProtection="1">
      <alignment horizontal="center"/>
      <protection locked="0"/>
    </xf>
    <xf numFmtId="3" fontId="2" fillId="3" borderId="26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2" fillId="3" borderId="48" xfId="0" applyFont="1" applyFill="1" applyBorder="1" applyAlignment="1" applyProtection="1">
      <alignment wrapText="1"/>
      <protection locked="0"/>
    </xf>
    <xf numFmtId="3" fontId="2" fillId="3" borderId="48" xfId="0" applyNumberFormat="1" applyFont="1" applyFill="1" applyBorder="1" applyAlignment="1" applyProtection="1">
      <alignment horizontal="center"/>
      <protection locked="0"/>
    </xf>
    <xf numFmtId="3" fontId="2" fillId="3" borderId="48" xfId="0" applyNumberFormat="1" applyFont="1" applyFill="1" applyBorder="1" applyAlignment="1">
      <alignment horizontal="center"/>
    </xf>
    <xf numFmtId="3" fontId="0" fillId="3" borderId="48" xfId="0" applyNumberFormat="1" applyFill="1" applyBorder="1" applyAlignment="1" applyProtection="1">
      <alignment horizontal="center"/>
      <protection locked="0"/>
    </xf>
    <xf numFmtId="3" fontId="11" fillId="3" borderId="48" xfId="0" applyNumberFormat="1" applyFont="1" applyFill="1" applyBorder="1" applyAlignment="1">
      <alignment horizontal="center"/>
    </xf>
    <xf numFmtId="3" fontId="15" fillId="3" borderId="39" xfId="0" applyNumberFormat="1" applyFont="1" applyFill="1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7" fillId="3" borderId="2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9" fillId="0" borderId="0" xfId="0" applyFont="1"/>
    <xf numFmtId="0" fontId="18" fillId="0" borderId="0" xfId="0" applyFont="1" applyAlignment="1" applyProtection="1">
      <alignment horizontal="centerContinuous"/>
      <protection locked="0"/>
    </xf>
    <xf numFmtId="0" fontId="19" fillId="0" borderId="0" xfId="0" applyFont="1" applyAlignment="1" applyProtection="1">
      <alignment horizontal="centerContinuous"/>
      <protection locked="0"/>
    </xf>
    <xf numFmtId="0" fontId="19" fillId="2" borderId="0" xfId="0" applyFont="1" applyFill="1" applyProtection="1">
      <protection locked="0"/>
    </xf>
    <xf numFmtId="0" fontId="18" fillId="5" borderId="1" xfId="0" applyFont="1" applyFill="1" applyBorder="1" applyProtection="1">
      <protection locked="0"/>
    </xf>
    <xf numFmtId="0" fontId="18" fillId="5" borderId="2" xfId="0" applyFont="1" applyFill="1" applyBorder="1" applyAlignment="1" applyProtection="1">
      <alignment horizontal="centerContinuous"/>
      <protection locked="0"/>
    </xf>
    <xf numFmtId="1" fontId="18" fillId="5" borderId="1" xfId="0" applyNumberFormat="1" applyFont="1" applyFill="1" applyBorder="1" applyAlignment="1" applyProtection="1">
      <alignment horizontal="center" vertical="center"/>
      <protection locked="0"/>
    </xf>
    <xf numFmtId="1" fontId="18" fillId="5" borderId="8" xfId="0" applyNumberFormat="1" applyFont="1" applyFill="1" applyBorder="1" applyAlignment="1" applyProtection="1">
      <alignment horizontal="center" vertical="center"/>
      <protection locked="0"/>
    </xf>
    <xf numFmtId="0" fontId="18" fillId="5" borderId="40" xfId="0" applyFont="1" applyFill="1" applyBorder="1" applyAlignment="1" applyProtection="1">
      <alignment horizontal="center" vertical="center" wrapText="1"/>
      <protection locked="0"/>
    </xf>
    <xf numFmtId="0" fontId="18" fillId="5" borderId="38" xfId="0" applyFont="1" applyFill="1" applyBorder="1" applyAlignment="1" applyProtection="1">
      <alignment horizontal="center" vertical="center" wrapText="1"/>
      <protection locked="0"/>
    </xf>
    <xf numFmtId="0" fontId="18" fillId="5" borderId="37" xfId="0" applyFont="1" applyFill="1" applyBorder="1" applyAlignment="1" applyProtection="1">
      <alignment horizontal="center" vertical="center" wrapText="1"/>
      <protection locked="0"/>
    </xf>
    <xf numFmtId="3" fontId="18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3" xfId="0" applyFont="1" applyFill="1" applyBorder="1" applyAlignment="1" applyProtection="1">
      <alignment horizontal="center"/>
      <protection locked="0"/>
    </xf>
    <xf numFmtId="0" fontId="18" fillId="3" borderId="44" xfId="0" applyFont="1" applyFill="1" applyBorder="1" applyProtection="1">
      <protection locked="0"/>
    </xf>
    <xf numFmtId="3" fontId="18" fillId="3" borderId="44" xfId="0" applyNumberFormat="1" applyFont="1" applyFill="1" applyBorder="1" applyAlignment="1" applyProtection="1">
      <alignment horizontal="center"/>
      <protection locked="0"/>
    </xf>
    <xf numFmtId="3" fontId="18" fillId="3" borderId="45" xfId="0" applyNumberFormat="1" applyFont="1" applyFill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wrapText="1"/>
      <protection locked="0"/>
    </xf>
    <xf numFmtId="3" fontId="18" fillId="0" borderId="24" xfId="0" applyNumberFormat="1" applyFont="1" applyBorder="1" applyAlignment="1" applyProtection="1">
      <alignment horizontal="center"/>
      <protection locked="0"/>
    </xf>
    <xf numFmtId="3" fontId="18" fillId="0" borderId="7" xfId="0" applyNumberFormat="1" applyFont="1" applyBorder="1" applyAlignment="1" applyProtection="1">
      <alignment horizontal="center"/>
      <protection locked="0"/>
    </xf>
    <xf numFmtId="0" fontId="19" fillId="0" borderId="46" xfId="0" applyFont="1" applyBorder="1" applyAlignment="1" applyProtection="1">
      <alignment horizontal="center"/>
      <protection locked="0"/>
    </xf>
    <xf numFmtId="0" fontId="19" fillId="0" borderId="39" xfId="0" applyFont="1" applyBorder="1" applyAlignment="1" applyProtection="1">
      <alignment wrapText="1"/>
      <protection locked="0"/>
    </xf>
    <xf numFmtId="3" fontId="18" fillId="0" borderId="39" xfId="0" applyNumberFormat="1" applyFont="1" applyBorder="1" applyAlignment="1" applyProtection="1">
      <alignment horizontal="center"/>
      <protection locked="0"/>
    </xf>
    <xf numFmtId="3" fontId="18" fillId="0" borderId="47" xfId="0" applyNumberFormat="1" applyFont="1" applyBorder="1" applyAlignment="1" applyProtection="1">
      <alignment horizontal="center"/>
      <protection locked="0"/>
    </xf>
    <xf numFmtId="0" fontId="18" fillId="5" borderId="40" xfId="0" applyFont="1" applyFill="1" applyBorder="1" applyAlignment="1" applyProtection="1">
      <alignment horizontal="center"/>
      <protection locked="0"/>
    </xf>
    <xf numFmtId="0" fontId="18" fillId="5" borderId="49" xfId="0" applyFont="1" applyFill="1" applyBorder="1" applyAlignment="1" applyProtection="1">
      <alignment horizontal="right" wrapText="1"/>
      <protection locked="0"/>
    </xf>
    <xf numFmtId="3" fontId="18" fillId="5" borderId="37" xfId="0" applyNumberFormat="1" applyFont="1" applyFill="1" applyBorder="1" applyAlignment="1" applyProtection="1">
      <alignment horizontal="center"/>
      <protection locked="0"/>
    </xf>
    <xf numFmtId="3" fontId="18" fillId="5" borderId="22" xfId="0" applyNumberFormat="1" applyFont="1" applyFill="1" applyBorder="1" applyAlignment="1" applyProtection="1">
      <alignment horizontal="center"/>
      <protection locked="0"/>
    </xf>
    <xf numFmtId="0" fontId="19" fillId="3" borderId="6" xfId="0" applyFont="1" applyFill="1" applyBorder="1" applyAlignment="1" applyProtection="1">
      <alignment horizontal="center"/>
      <protection locked="0"/>
    </xf>
    <xf numFmtId="0" fontId="19" fillId="3" borderId="24" xfId="0" applyFont="1" applyFill="1" applyBorder="1" applyAlignment="1" applyProtection="1">
      <alignment wrapText="1"/>
      <protection locked="0"/>
    </xf>
    <xf numFmtId="3" fontId="18" fillId="3" borderId="24" xfId="0" applyNumberFormat="1" applyFont="1" applyFill="1" applyBorder="1" applyAlignment="1" applyProtection="1">
      <alignment horizontal="center"/>
      <protection locked="0"/>
    </xf>
    <xf numFmtId="3" fontId="18" fillId="3" borderId="7" xfId="0" applyNumberFormat="1" applyFont="1" applyFill="1" applyBorder="1" applyAlignment="1" applyProtection="1">
      <alignment horizontal="center"/>
      <protection locked="0"/>
    </xf>
    <xf numFmtId="0" fontId="19" fillId="3" borderId="24" xfId="0" applyFont="1" applyFill="1" applyBorder="1" applyProtection="1">
      <protection locked="0"/>
    </xf>
    <xf numFmtId="0" fontId="19" fillId="3" borderId="39" xfId="0" applyFont="1" applyFill="1" applyBorder="1" applyAlignment="1" applyProtection="1">
      <alignment wrapText="1"/>
      <protection locked="0"/>
    </xf>
    <xf numFmtId="3" fontId="18" fillId="3" borderId="39" xfId="0" applyNumberFormat="1" applyFont="1" applyFill="1" applyBorder="1" applyAlignment="1" applyProtection="1">
      <alignment horizontal="center"/>
      <protection locked="0"/>
    </xf>
    <xf numFmtId="3" fontId="18" fillId="3" borderId="47" xfId="0" applyNumberFormat="1" applyFont="1" applyFill="1" applyBorder="1" applyAlignment="1" applyProtection="1">
      <alignment horizontal="center"/>
      <protection locked="0"/>
    </xf>
    <xf numFmtId="0" fontId="18" fillId="5" borderId="18" xfId="0" applyFont="1" applyFill="1" applyBorder="1" applyAlignment="1" applyProtection="1">
      <alignment horizontal="center"/>
      <protection locked="0"/>
    </xf>
    <xf numFmtId="0" fontId="18" fillId="5" borderId="5" xfId="0" applyFont="1" applyFill="1" applyBorder="1" applyAlignment="1" applyProtection="1">
      <alignment horizontal="right" wrapText="1"/>
      <protection locked="0"/>
    </xf>
    <xf numFmtId="3" fontId="18" fillId="5" borderId="4" xfId="0" applyNumberFormat="1" applyFont="1" applyFill="1" applyBorder="1" applyAlignment="1" applyProtection="1">
      <alignment horizontal="center"/>
      <protection locked="0"/>
    </xf>
    <xf numFmtId="3" fontId="18" fillId="5" borderId="19" xfId="0" applyNumberFormat="1" applyFont="1" applyFill="1" applyBorder="1" applyAlignment="1" applyProtection="1">
      <alignment horizontal="center"/>
      <protection locked="0"/>
    </xf>
    <xf numFmtId="0" fontId="18" fillId="3" borderId="44" xfId="0" applyFont="1" applyFill="1" applyBorder="1" applyAlignment="1" applyProtection="1">
      <alignment horizontal="left"/>
      <protection locked="0"/>
    </xf>
    <xf numFmtId="0" fontId="19" fillId="3" borderId="24" xfId="0" applyFont="1" applyFill="1" applyBorder="1" applyAlignment="1" applyProtection="1">
      <alignment horizontal="left" wrapText="1"/>
      <protection locked="0"/>
    </xf>
    <xf numFmtId="0" fontId="18" fillId="0" borderId="43" xfId="0" applyFont="1" applyBorder="1" applyAlignment="1" applyProtection="1">
      <alignment horizontal="center"/>
      <protection locked="0"/>
    </xf>
    <xf numFmtId="0" fontId="18" fillId="0" borderId="44" xfId="0" applyFont="1" applyBorder="1" applyProtection="1">
      <protection locked="0"/>
    </xf>
    <xf numFmtId="3" fontId="18" fillId="0" borderId="44" xfId="0" applyNumberFormat="1" applyFont="1" applyBorder="1" applyAlignment="1" applyProtection="1">
      <alignment horizontal="center"/>
      <protection locked="0"/>
    </xf>
    <xf numFmtId="3" fontId="18" fillId="0" borderId="45" xfId="0" applyNumberFormat="1" applyFont="1" applyBorder="1" applyAlignment="1" applyProtection="1">
      <alignment horizontal="center"/>
      <protection locked="0"/>
    </xf>
    <xf numFmtId="0" fontId="19" fillId="3" borderId="39" xfId="0" applyFont="1" applyFill="1" applyBorder="1" applyProtection="1">
      <protection locked="0"/>
    </xf>
    <xf numFmtId="0" fontId="19" fillId="3" borderId="46" xfId="0" applyFont="1" applyFill="1" applyBorder="1" applyAlignment="1" applyProtection="1">
      <alignment horizontal="center"/>
      <protection locked="0"/>
    </xf>
    <xf numFmtId="0" fontId="19" fillId="3" borderId="39" xfId="0" applyFont="1" applyFill="1" applyBorder="1" applyAlignment="1" applyProtection="1">
      <alignment horizontal="left" wrapText="1"/>
      <protection locked="0"/>
    </xf>
    <xf numFmtId="0" fontId="19" fillId="3" borderId="24" xfId="0" applyFont="1" applyFill="1" applyBorder="1" applyAlignment="1" applyProtection="1">
      <alignment vertical="center" wrapText="1"/>
      <protection locked="0"/>
    </xf>
    <xf numFmtId="1" fontId="18" fillId="3" borderId="43" xfId="0" applyNumberFormat="1" applyFont="1" applyFill="1" applyBorder="1" applyAlignment="1" applyProtection="1">
      <alignment horizontal="center"/>
      <protection locked="0"/>
    </xf>
    <xf numFmtId="1" fontId="18" fillId="3" borderId="44" xfId="0" applyNumberFormat="1" applyFont="1" applyFill="1" applyBorder="1" applyAlignment="1" applyProtection="1">
      <alignment horizontal="left"/>
      <protection locked="0"/>
    </xf>
    <xf numFmtId="0" fontId="18" fillId="3" borderId="24" xfId="0" applyFont="1" applyFill="1" applyBorder="1" applyAlignment="1" applyProtection="1">
      <alignment wrapText="1"/>
      <protection locked="0"/>
    </xf>
    <xf numFmtId="0" fontId="18" fillId="3" borderId="24" xfId="0" applyFont="1" applyFill="1" applyBorder="1" applyAlignment="1" applyProtection="1">
      <alignment vertical="center" wrapText="1"/>
      <protection locked="0"/>
    </xf>
    <xf numFmtId="0" fontId="18" fillId="5" borderId="19" xfId="0" applyFont="1" applyFill="1" applyBorder="1" applyAlignment="1" applyProtection="1">
      <alignment horizontal="center"/>
      <protection locked="0"/>
    </xf>
    <xf numFmtId="1" fontId="18" fillId="5" borderId="1" xfId="0" applyNumberFormat="1" applyFont="1" applyFill="1" applyBorder="1" applyAlignment="1" applyProtection="1">
      <alignment horizontal="center"/>
      <protection locked="0"/>
    </xf>
    <xf numFmtId="3" fontId="18" fillId="0" borderId="0" xfId="0" applyNumberFormat="1" applyFont="1" applyAlignment="1" applyProtection="1">
      <alignment horizontal="right"/>
      <protection locked="0"/>
    </xf>
    <xf numFmtId="0" fontId="18" fillId="0" borderId="0" xfId="0" applyFont="1"/>
    <xf numFmtId="3" fontId="18" fillId="0" borderId="0" xfId="0" applyNumberFormat="1" applyFont="1" applyAlignment="1" applyProtection="1">
      <alignment horizontal="left"/>
      <protection locked="0"/>
    </xf>
    <xf numFmtId="3" fontId="19" fillId="0" borderId="0" xfId="0" applyNumberFormat="1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19" fillId="3" borderId="30" xfId="0" applyFont="1" applyFill="1" applyBorder="1" applyAlignment="1" applyProtection="1">
      <alignment wrapText="1"/>
      <protection locked="0"/>
    </xf>
    <xf numFmtId="3" fontId="18" fillId="3" borderId="30" xfId="0" applyNumberFormat="1" applyFont="1" applyFill="1" applyBorder="1" applyAlignment="1" applyProtection="1">
      <alignment horizontal="center"/>
      <protection locked="0"/>
    </xf>
    <xf numFmtId="3" fontId="18" fillId="3" borderId="29" xfId="0" applyNumberFormat="1" applyFont="1" applyFill="1" applyBorder="1" applyAlignment="1" applyProtection="1">
      <alignment horizontal="center"/>
      <protection locked="0"/>
    </xf>
    <xf numFmtId="0" fontId="18" fillId="5" borderId="3" xfId="0" applyFont="1" applyFill="1" applyBorder="1" applyAlignment="1" applyProtection="1">
      <alignment horizontal="center"/>
      <protection locked="0"/>
    </xf>
    <xf numFmtId="0" fontId="18" fillId="5" borderId="41" xfId="0" applyFont="1" applyFill="1" applyBorder="1" applyAlignment="1" applyProtection="1">
      <alignment horizontal="right" wrapText="1"/>
      <protection locked="0"/>
    </xf>
    <xf numFmtId="3" fontId="18" fillId="5" borderId="41" xfId="0" applyNumberFormat="1" applyFont="1" applyFill="1" applyBorder="1" applyAlignment="1" applyProtection="1">
      <alignment horizontal="center"/>
      <protection locked="0"/>
    </xf>
    <xf numFmtId="3" fontId="18" fillId="5" borderId="21" xfId="0" applyNumberFormat="1" applyFont="1" applyFill="1" applyBorder="1" applyAlignment="1" applyProtection="1">
      <alignment horizontal="center"/>
      <protection locked="0"/>
    </xf>
    <xf numFmtId="0" fontId="18" fillId="3" borderId="40" xfId="0" applyFont="1" applyFill="1" applyBorder="1" applyAlignment="1" applyProtection="1">
      <alignment horizontal="center"/>
      <protection locked="0"/>
    </xf>
    <xf numFmtId="0" fontId="19" fillId="3" borderId="42" xfId="0" applyFont="1" applyFill="1" applyBorder="1" applyAlignment="1" applyProtection="1">
      <alignment wrapText="1"/>
      <protection locked="0"/>
    </xf>
    <xf numFmtId="3" fontId="18" fillId="3" borderId="42" xfId="0" applyNumberFormat="1" applyFont="1" applyFill="1" applyBorder="1" applyAlignment="1" applyProtection="1">
      <alignment horizontal="center"/>
      <protection locked="0"/>
    </xf>
    <xf numFmtId="3" fontId="18" fillId="3" borderId="36" xfId="0" applyNumberFormat="1" applyFont="1" applyFill="1" applyBorder="1" applyAlignment="1" applyProtection="1">
      <alignment horizontal="center"/>
      <protection locked="0"/>
    </xf>
    <xf numFmtId="3" fontId="18" fillId="5" borderId="2" xfId="0" applyNumberFormat="1" applyFont="1" applyFill="1" applyBorder="1" applyAlignment="1" applyProtection="1">
      <alignment horizontal="center"/>
      <protection locked="0"/>
    </xf>
    <xf numFmtId="3" fontId="18" fillId="5" borderId="8" xfId="0" applyNumberFormat="1" applyFont="1" applyFill="1" applyBorder="1" applyAlignment="1" applyProtection="1">
      <alignment horizontal="center"/>
      <protection locked="0"/>
    </xf>
    <xf numFmtId="1" fontId="18" fillId="5" borderId="9" xfId="0" applyNumberFormat="1" applyFont="1" applyFill="1" applyBorder="1" applyAlignment="1" applyProtection="1">
      <alignment horizontal="right" wrapText="1"/>
      <protection locked="0"/>
    </xf>
    <xf numFmtId="3" fontId="1" fillId="0" borderId="15" xfId="0" applyNumberFormat="1" applyFont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" fontId="18" fillId="5" borderId="1" xfId="0" applyNumberFormat="1" applyFont="1" applyFill="1" applyBorder="1" applyAlignment="1" applyProtection="1">
      <alignment horizontal="center" vertical="center"/>
      <protection locked="0"/>
    </xf>
    <xf numFmtId="1" fontId="18" fillId="5" borderId="8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>
      <alignment horizontal="center" vertical="center"/>
    </xf>
    <xf numFmtId="3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3" fontId="4" fillId="5" borderId="2" xfId="0" applyNumberFormat="1" applyFont="1" applyFill="1" applyBorder="1" applyAlignment="1" applyProtection="1">
      <alignment horizontal="center" vertical="center"/>
      <protection locked="0"/>
    </xf>
    <xf numFmtId="3" fontId="4" fillId="5" borderId="8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horizontal="center"/>
      <protection locked="0"/>
    </xf>
    <xf numFmtId="0" fontId="21" fillId="5" borderId="2" xfId="0" applyFont="1" applyFill="1" applyBorder="1" applyAlignment="1" applyProtection="1">
      <alignment horizontal="center"/>
      <protection locked="0"/>
    </xf>
    <xf numFmtId="0" fontId="21" fillId="5" borderId="8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2" name="Line 2245">
          <a:extLst>
            <a:ext uri="{FF2B5EF4-FFF2-40B4-BE49-F238E27FC236}">
              <a16:creationId xmlns:a16="http://schemas.microsoft.com/office/drawing/2014/main" id="{7B9409EC-55AC-4DA0-AD0C-152B41AEDE68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3" name="Line 2246">
          <a:extLst>
            <a:ext uri="{FF2B5EF4-FFF2-40B4-BE49-F238E27FC236}">
              <a16:creationId xmlns:a16="http://schemas.microsoft.com/office/drawing/2014/main" id="{DED6B1B6-E384-47D7-8B90-3D0BED05B3A0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4" name="Line 2247">
          <a:extLst>
            <a:ext uri="{FF2B5EF4-FFF2-40B4-BE49-F238E27FC236}">
              <a16:creationId xmlns:a16="http://schemas.microsoft.com/office/drawing/2014/main" id="{FC166C2A-CFB8-4354-A9E2-FCF06F62136E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5" name="Line 2248">
          <a:extLst>
            <a:ext uri="{FF2B5EF4-FFF2-40B4-BE49-F238E27FC236}">
              <a16:creationId xmlns:a16="http://schemas.microsoft.com/office/drawing/2014/main" id="{C730E093-DC78-48AD-88B3-9F393F5C7E03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6" name="Line 2249">
          <a:extLst>
            <a:ext uri="{FF2B5EF4-FFF2-40B4-BE49-F238E27FC236}">
              <a16:creationId xmlns:a16="http://schemas.microsoft.com/office/drawing/2014/main" id="{F3FB224A-6439-4AF4-9BB8-F475CD92480B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7" name="Line 2250">
          <a:extLst>
            <a:ext uri="{FF2B5EF4-FFF2-40B4-BE49-F238E27FC236}">
              <a16:creationId xmlns:a16="http://schemas.microsoft.com/office/drawing/2014/main" id="{A7DF2239-9F5E-4085-8E19-419C71F61C0B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8" name="Line 2251">
          <a:extLst>
            <a:ext uri="{FF2B5EF4-FFF2-40B4-BE49-F238E27FC236}">
              <a16:creationId xmlns:a16="http://schemas.microsoft.com/office/drawing/2014/main" id="{2A4B2EB2-0F70-47EE-AA06-6E46D33E1087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9" name="Line 2252">
          <a:extLst>
            <a:ext uri="{FF2B5EF4-FFF2-40B4-BE49-F238E27FC236}">
              <a16:creationId xmlns:a16="http://schemas.microsoft.com/office/drawing/2014/main" id="{19D8F540-FCF3-440A-B4ED-8A9876AA583A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182880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10" name="Line 2269">
          <a:extLst>
            <a:ext uri="{FF2B5EF4-FFF2-40B4-BE49-F238E27FC236}">
              <a16:creationId xmlns:a16="http://schemas.microsoft.com/office/drawing/2014/main" id="{4DB8D477-B841-4A14-98D2-C37D8F685AC8}"/>
            </a:ext>
          </a:extLst>
        </xdr:cNvPr>
        <xdr:cNvSpPr>
          <a:spLocks noChangeShapeType="1"/>
        </xdr:cNvSpPr>
      </xdr:nvSpPr>
      <xdr:spPr bwMode="auto">
        <a:xfrm>
          <a:off x="182880" y="29222700"/>
          <a:ext cx="42271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11" name="Line 2270">
          <a:extLst>
            <a:ext uri="{FF2B5EF4-FFF2-40B4-BE49-F238E27FC236}">
              <a16:creationId xmlns:a16="http://schemas.microsoft.com/office/drawing/2014/main" id="{9B424262-7403-4A55-8325-4D0ADDF651EF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12" name="Line 2271">
          <a:extLst>
            <a:ext uri="{FF2B5EF4-FFF2-40B4-BE49-F238E27FC236}">
              <a16:creationId xmlns:a16="http://schemas.microsoft.com/office/drawing/2014/main" id="{AF8DE678-0460-43E1-8157-296B2C611E1B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13" name="Line 2272">
          <a:extLst>
            <a:ext uri="{FF2B5EF4-FFF2-40B4-BE49-F238E27FC236}">
              <a16:creationId xmlns:a16="http://schemas.microsoft.com/office/drawing/2014/main" id="{4C26BDD6-EF74-4E10-86D2-AF32A2EC8602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14" name="Line 2273">
          <a:extLst>
            <a:ext uri="{FF2B5EF4-FFF2-40B4-BE49-F238E27FC236}">
              <a16:creationId xmlns:a16="http://schemas.microsoft.com/office/drawing/2014/main" id="{36B83339-9445-435E-AA1F-5C8E3DBC1B9B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15" name="Line 2274">
          <a:extLst>
            <a:ext uri="{FF2B5EF4-FFF2-40B4-BE49-F238E27FC236}">
              <a16:creationId xmlns:a16="http://schemas.microsoft.com/office/drawing/2014/main" id="{B976671D-DCCA-45F6-BC01-A88AC587C5E2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16" name="Line 2275">
          <a:extLst>
            <a:ext uri="{FF2B5EF4-FFF2-40B4-BE49-F238E27FC236}">
              <a16:creationId xmlns:a16="http://schemas.microsoft.com/office/drawing/2014/main" id="{FDCEB015-9EC6-4C0C-BC00-B315268F52FB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17" name="Line 2276">
          <a:extLst>
            <a:ext uri="{FF2B5EF4-FFF2-40B4-BE49-F238E27FC236}">
              <a16:creationId xmlns:a16="http://schemas.microsoft.com/office/drawing/2014/main" id="{26D1E055-2DE7-493F-967B-85198DFBCE4B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18" name="Line 2277">
          <a:extLst>
            <a:ext uri="{FF2B5EF4-FFF2-40B4-BE49-F238E27FC236}">
              <a16:creationId xmlns:a16="http://schemas.microsoft.com/office/drawing/2014/main" id="{8146886E-EA62-4F2F-B4A1-8AAA937A0C94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19" name="Line 2278">
          <a:extLst>
            <a:ext uri="{FF2B5EF4-FFF2-40B4-BE49-F238E27FC236}">
              <a16:creationId xmlns:a16="http://schemas.microsoft.com/office/drawing/2014/main" id="{EB44C5A6-E286-4D78-8293-77154DE704E1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20" name="Line 2279">
          <a:extLst>
            <a:ext uri="{FF2B5EF4-FFF2-40B4-BE49-F238E27FC236}">
              <a16:creationId xmlns:a16="http://schemas.microsoft.com/office/drawing/2014/main" id="{12940340-1D76-4DDE-8CE1-D7538D9B9AF4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21" name="Line 2280">
          <a:extLst>
            <a:ext uri="{FF2B5EF4-FFF2-40B4-BE49-F238E27FC236}">
              <a16:creationId xmlns:a16="http://schemas.microsoft.com/office/drawing/2014/main" id="{EBE1DF1F-DC5C-4D4F-9EC7-5517DC9538AC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22" name="Line 2281">
          <a:extLst>
            <a:ext uri="{FF2B5EF4-FFF2-40B4-BE49-F238E27FC236}">
              <a16:creationId xmlns:a16="http://schemas.microsoft.com/office/drawing/2014/main" id="{9B6A96E1-7F27-4A42-BA3A-AE2EF1174F8C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23" name="Line 2282">
          <a:extLst>
            <a:ext uri="{FF2B5EF4-FFF2-40B4-BE49-F238E27FC236}">
              <a16:creationId xmlns:a16="http://schemas.microsoft.com/office/drawing/2014/main" id="{7C9BCA15-17F1-4B0D-B826-6FA3441C0903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24" name="Line 2283">
          <a:extLst>
            <a:ext uri="{FF2B5EF4-FFF2-40B4-BE49-F238E27FC236}">
              <a16:creationId xmlns:a16="http://schemas.microsoft.com/office/drawing/2014/main" id="{A2DCAA5B-039E-4B93-BFCE-5BAC2F693217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25" name="Line 2284">
          <a:extLst>
            <a:ext uri="{FF2B5EF4-FFF2-40B4-BE49-F238E27FC236}">
              <a16:creationId xmlns:a16="http://schemas.microsoft.com/office/drawing/2014/main" id="{FDD12866-D749-44C5-A149-5D3DCF637F4E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26" name="Line 2285">
          <a:extLst>
            <a:ext uri="{FF2B5EF4-FFF2-40B4-BE49-F238E27FC236}">
              <a16:creationId xmlns:a16="http://schemas.microsoft.com/office/drawing/2014/main" id="{6424305E-FE50-40E2-9A61-5150FE56DCA4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27" name="Line 2286">
          <a:extLst>
            <a:ext uri="{FF2B5EF4-FFF2-40B4-BE49-F238E27FC236}">
              <a16:creationId xmlns:a16="http://schemas.microsoft.com/office/drawing/2014/main" id="{FA4592C6-6FE6-4747-BDD5-DFDD53847B25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28" name="Line 2287">
          <a:extLst>
            <a:ext uri="{FF2B5EF4-FFF2-40B4-BE49-F238E27FC236}">
              <a16:creationId xmlns:a16="http://schemas.microsoft.com/office/drawing/2014/main" id="{368F86CF-5F46-4A1E-90F8-B289F07FE4D3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29" name="Line 2288">
          <a:extLst>
            <a:ext uri="{FF2B5EF4-FFF2-40B4-BE49-F238E27FC236}">
              <a16:creationId xmlns:a16="http://schemas.microsoft.com/office/drawing/2014/main" id="{B6CFB34F-5D39-4801-9ED8-87BE40F1ED2B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30" name="Line 2289">
          <a:extLst>
            <a:ext uri="{FF2B5EF4-FFF2-40B4-BE49-F238E27FC236}">
              <a16:creationId xmlns:a16="http://schemas.microsoft.com/office/drawing/2014/main" id="{37C8D826-6EB5-431E-A4F8-A41709D5F426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31" name="Line 2290">
          <a:extLst>
            <a:ext uri="{FF2B5EF4-FFF2-40B4-BE49-F238E27FC236}">
              <a16:creationId xmlns:a16="http://schemas.microsoft.com/office/drawing/2014/main" id="{04BFDC5E-C4F4-45B4-BAE2-BB36C0584D28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32" name="Line 2291">
          <a:extLst>
            <a:ext uri="{FF2B5EF4-FFF2-40B4-BE49-F238E27FC236}">
              <a16:creationId xmlns:a16="http://schemas.microsoft.com/office/drawing/2014/main" id="{66355942-143A-4D93-850D-B18E51E329AF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33" name="Line 2292">
          <a:extLst>
            <a:ext uri="{FF2B5EF4-FFF2-40B4-BE49-F238E27FC236}">
              <a16:creationId xmlns:a16="http://schemas.microsoft.com/office/drawing/2014/main" id="{6266CAC9-C107-4322-A747-E8EFB30A725E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34" name="Line 2293">
          <a:extLst>
            <a:ext uri="{FF2B5EF4-FFF2-40B4-BE49-F238E27FC236}">
              <a16:creationId xmlns:a16="http://schemas.microsoft.com/office/drawing/2014/main" id="{5BD284A8-F36C-496A-8121-AB0AD56BCB35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182880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35" name="Line 2310">
          <a:extLst>
            <a:ext uri="{FF2B5EF4-FFF2-40B4-BE49-F238E27FC236}">
              <a16:creationId xmlns:a16="http://schemas.microsoft.com/office/drawing/2014/main" id="{31BEB897-156C-4E71-A4EE-91677012EDF7}"/>
            </a:ext>
          </a:extLst>
        </xdr:cNvPr>
        <xdr:cNvSpPr>
          <a:spLocks noChangeShapeType="1"/>
        </xdr:cNvSpPr>
      </xdr:nvSpPr>
      <xdr:spPr bwMode="auto">
        <a:xfrm>
          <a:off x="182880" y="29222700"/>
          <a:ext cx="42271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36" name="Line 2311">
          <a:extLst>
            <a:ext uri="{FF2B5EF4-FFF2-40B4-BE49-F238E27FC236}">
              <a16:creationId xmlns:a16="http://schemas.microsoft.com/office/drawing/2014/main" id="{0D4DDDE4-1F46-4C6A-A96A-59EE0159242D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37" name="Line 2312">
          <a:extLst>
            <a:ext uri="{FF2B5EF4-FFF2-40B4-BE49-F238E27FC236}">
              <a16:creationId xmlns:a16="http://schemas.microsoft.com/office/drawing/2014/main" id="{B0CB2013-3C82-4AF6-BDB1-88D4CD786C42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38" name="Line 2313">
          <a:extLst>
            <a:ext uri="{FF2B5EF4-FFF2-40B4-BE49-F238E27FC236}">
              <a16:creationId xmlns:a16="http://schemas.microsoft.com/office/drawing/2014/main" id="{B6957DB3-102C-40BF-ADFF-4FE97BA8DCDC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39" name="Line 2314">
          <a:extLst>
            <a:ext uri="{FF2B5EF4-FFF2-40B4-BE49-F238E27FC236}">
              <a16:creationId xmlns:a16="http://schemas.microsoft.com/office/drawing/2014/main" id="{8AEDF0D0-F305-4B4D-9702-18BF68FBC5B1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40" name="Line 2315">
          <a:extLst>
            <a:ext uri="{FF2B5EF4-FFF2-40B4-BE49-F238E27FC236}">
              <a16:creationId xmlns:a16="http://schemas.microsoft.com/office/drawing/2014/main" id="{3FF75049-37A2-462F-AE15-552FF4386BA5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41" name="Line 2316">
          <a:extLst>
            <a:ext uri="{FF2B5EF4-FFF2-40B4-BE49-F238E27FC236}">
              <a16:creationId xmlns:a16="http://schemas.microsoft.com/office/drawing/2014/main" id="{5B9420D9-1E54-4D56-8933-1AAEE7F33106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42" name="Line 2317">
          <a:extLst>
            <a:ext uri="{FF2B5EF4-FFF2-40B4-BE49-F238E27FC236}">
              <a16:creationId xmlns:a16="http://schemas.microsoft.com/office/drawing/2014/main" id="{1A737A2A-CB3B-467F-8891-EEA38C11B3DA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43" name="Line 2318">
          <a:extLst>
            <a:ext uri="{FF2B5EF4-FFF2-40B4-BE49-F238E27FC236}">
              <a16:creationId xmlns:a16="http://schemas.microsoft.com/office/drawing/2014/main" id="{C6DB4765-B0BD-4BB4-9365-299028E0FA72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182880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44" name="Line 2335">
          <a:extLst>
            <a:ext uri="{FF2B5EF4-FFF2-40B4-BE49-F238E27FC236}">
              <a16:creationId xmlns:a16="http://schemas.microsoft.com/office/drawing/2014/main" id="{5D82E80B-F67C-4AAC-8ECB-732A5BD46B1C}"/>
            </a:ext>
          </a:extLst>
        </xdr:cNvPr>
        <xdr:cNvSpPr>
          <a:spLocks noChangeShapeType="1"/>
        </xdr:cNvSpPr>
      </xdr:nvSpPr>
      <xdr:spPr bwMode="auto">
        <a:xfrm>
          <a:off x="182880" y="29222700"/>
          <a:ext cx="42271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45" name="Line 2336">
          <a:extLst>
            <a:ext uri="{FF2B5EF4-FFF2-40B4-BE49-F238E27FC236}">
              <a16:creationId xmlns:a16="http://schemas.microsoft.com/office/drawing/2014/main" id="{453C5273-9096-4756-AE0B-A6C0DB834C2F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46" name="Line 2337">
          <a:extLst>
            <a:ext uri="{FF2B5EF4-FFF2-40B4-BE49-F238E27FC236}">
              <a16:creationId xmlns:a16="http://schemas.microsoft.com/office/drawing/2014/main" id="{ACA92B78-1A11-480E-9392-9283200EFCDA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47" name="Line 2338">
          <a:extLst>
            <a:ext uri="{FF2B5EF4-FFF2-40B4-BE49-F238E27FC236}">
              <a16:creationId xmlns:a16="http://schemas.microsoft.com/office/drawing/2014/main" id="{8E72ABD8-8C17-42AC-9356-25B0C70CD69C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48" name="Line 2339">
          <a:extLst>
            <a:ext uri="{FF2B5EF4-FFF2-40B4-BE49-F238E27FC236}">
              <a16:creationId xmlns:a16="http://schemas.microsoft.com/office/drawing/2014/main" id="{914B3CB3-C500-4D5D-9035-09362D4D8D9C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49" name="Line 2340">
          <a:extLst>
            <a:ext uri="{FF2B5EF4-FFF2-40B4-BE49-F238E27FC236}">
              <a16:creationId xmlns:a16="http://schemas.microsoft.com/office/drawing/2014/main" id="{1AB3B7D9-EC2C-4B4A-9CEA-3EA754060EA0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50" name="Line 2341">
          <a:extLst>
            <a:ext uri="{FF2B5EF4-FFF2-40B4-BE49-F238E27FC236}">
              <a16:creationId xmlns:a16="http://schemas.microsoft.com/office/drawing/2014/main" id="{5962E8AE-1A7D-4EE5-A220-10B4FEBD1249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51" name="Line 2342">
          <a:extLst>
            <a:ext uri="{FF2B5EF4-FFF2-40B4-BE49-F238E27FC236}">
              <a16:creationId xmlns:a16="http://schemas.microsoft.com/office/drawing/2014/main" id="{52885DE1-7788-44AE-A01D-AF3863839F37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52" name="Line 2343">
          <a:extLst>
            <a:ext uri="{FF2B5EF4-FFF2-40B4-BE49-F238E27FC236}">
              <a16:creationId xmlns:a16="http://schemas.microsoft.com/office/drawing/2014/main" id="{2C47EF94-4E1C-4A27-B641-3F800449DA6C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53" name="Line 2344">
          <a:extLst>
            <a:ext uri="{FF2B5EF4-FFF2-40B4-BE49-F238E27FC236}">
              <a16:creationId xmlns:a16="http://schemas.microsoft.com/office/drawing/2014/main" id="{1A084BA0-CB0E-4B4C-8469-40AF12AE1595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54" name="Line 2345">
          <a:extLst>
            <a:ext uri="{FF2B5EF4-FFF2-40B4-BE49-F238E27FC236}">
              <a16:creationId xmlns:a16="http://schemas.microsoft.com/office/drawing/2014/main" id="{5AD98BBA-4D44-4B65-BC1E-8D016860FD7A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55" name="Line 2346">
          <a:extLst>
            <a:ext uri="{FF2B5EF4-FFF2-40B4-BE49-F238E27FC236}">
              <a16:creationId xmlns:a16="http://schemas.microsoft.com/office/drawing/2014/main" id="{A44FA0ED-8288-4AD8-BBFC-8D3FC3D3FBA4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56" name="Line 2347">
          <a:extLst>
            <a:ext uri="{FF2B5EF4-FFF2-40B4-BE49-F238E27FC236}">
              <a16:creationId xmlns:a16="http://schemas.microsoft.com/office/drawing/2014/main" id="{6CC660BB-65BE-4607-900B-1D1CF480F43A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57" name="Line 2348">
          <a:extLst>
            <a:ext uri="{FF2B5EF4-FFF2-40B4-BE49-F238E27FC236}">
              <a16:creationId xmlns:a16="http://schemas.microsoft.com/office/drawing/2014/main" id="{D0C5D7BF-65D4-405B-B42A-FA2B1EAF8C4A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58" name="Line 2349">
          <a:extLst>
            <a:ext uri="{FF2B5EF4-FFF2-40B4-BE49-F238E27FC236}">
              <a16:creationId xmlns:a16="http://schemas.microsoft.com/office/drawing/2014/main" id="{ACF11152-9BC9-4009-BE3D-F3FD162DDB03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59" name="Line 2350">
          <a:extLst>
            <a:ext uri="{FF2B5EF4-FFF2-40B4-BE49-F238E27FC236}">
              <a16:creationId xmlns:a16="http://schemas.microsoft.com/office/drawing/2014/main" id="{7469F2D0-29AD-4948-86D2-D492DE6D533F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60" name="Line 2351">
          <a:extLst>
            <a:ext uri="{FF2B5EF4-FFF2-40B4-BE49-F238E27FC236}">
              <a16:creationId xmlns:a16="http://schemas.microsoft.com/office/drawing/2014/main" id="{F1924E3D-8148-4C7E-A3CD-78F290AB82EC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61" name="Line 2352">
          <a:extLst>
            <a:ext uri="{FF2B5EF4-FFF2-40B4-BE49-F238E27FC236}">
              <a16:creationId xmlns:a16="http://schemas.microsoft.com/office/drawing/2014/main" id="{195B4072-28F8-4A7C-A06D-16C156F5C2DF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62" name="Line 2353">
          <a:extLst>
            <a:ext uri="{FF2B5EF4-FFF2-40B4-BE49-F238E27FC236}">
              <a16:creationId xmlns:a16="http://schemas.microsoft.com/office/drawing/2014/main" id="{D3B0CFED-7D8E-4190-A4BA-28A88F4875D8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0</xdr:colOff>
      <xdr:row>173</xdr:row>
      <xdr:rowOff>0</xdr:rowOff>
    </xdr:to>
    <xdr:sp macro="" textlink="">
      <xdr:nvSpPr>
        <xdr:cNvPr id="63" name="Line 2354">
          <a:extLst>
            <a:ext uri="{FF2B5EF4-FFF2-40B4-BE49-F238E27FC236}">
              <a16:creationId xmlns:a16="http://schemas.microsoft.com/office/drawing/2014/main" id="{AA531353-A7E4-4C17-A216-83EE8F26044E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45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173</xdr:row>
      <xdr:rowOff>0</xdr:rowOff>
    </xdr:from>
    <xdr:to>
      <xdr:col>3</xdr:col>
      <xdr:colOff>22860</xdr:colOff>
      <xdr:row>173</xdr:row>
      <xdr:rowOff>0</xdr:rowOff>
    </xdr:to>
    <xdr:sp macro="" textlink="">
      <xdr:nvSpPr>
        <xdr:cNvPr id="64" name="Line 2355">
          <a:extLst>
            <a:ext uri="{FF2B5EF4-FFF2-40B4-BE49-F238E27FC236}">
              <a16:creationId xmlns:a16="http://schemas.microsoft.com/office/drawing/2014/main" id="{21268F59-03D6-44E3-BBD5-DA465E90E25A}"/>
            </a:ext>
          </a:extLst>
        </xdr:cNvPr>
        <xdr:cNvSpPr>
          <a:spLocks noChangeShapeType="1"/>
        </xdr:cNvSpPr>
      </xdr:nvSpPr>
      <xdr:spPr bwMode="auto">
        <a:xfrm>
          <a:off x="664845" y="29222700"/>
          <a:ext cx="3768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65" name="Line 1">
          <a:extLst>
            <a:ext uri="{FF2B5EF4-FFF2-40B4-BE49-F238E27FC236}">
              <a16:creationId xmlns:a16="http://schemas.microsoft.com/office/drawing/2014/main" id="{00000000-0008-0000-0000-00003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66" name="Line 2">
          <a:extLst>
            <a:ext uri="{FF2B5EF4-FFF2-40B4-BE49-F238E27FC236}">
              <a16:creationId xmlns:a16="http://schemas.microsoft.com/office/drawing/2014/main" id="{00000000-0008-0000-0000-00003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67" name="Line 3">
          <a:extLst>
            <a:ext uri="{FF2B5EF4-FFF2-40B4-BE49-F238E27FC236}">
              <a16:creationId xmlns:a16="http://schemas.microsoft.com/office/drawing/2014/main" id="{00000000-0008-0000-0000-00003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68" name="Line 4">
          <a:extLst>
            <a:ext uri="{FF2B5EF4-FFF2-40B4-BE49-F238E27FC236}">
              <a16:creationId xmlns:a16="http://schemas.microsoft.com/office/drawing/2014/main" id="{00000000-0008-0000-0000-00003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69" name="Line 5">
          <a:extLst>
            <a:ext uri="{FF2B5EF4-FFF2-40B4-BE49-F238E27FC236}">
              <a16:creationId xmlns:a16="http://schemas.microsoft.com/office/drawing/2014/main" id="{00000000-0008-0000-0000-00003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70" name="Line 6">
          <a:extLst>
            <a:ext uri="{FF2B5EF4-FFF2-40B4-BE49-F238E27FC236}">
              <a16:creationId xmlns:a16="http://schemas.microsoft.com/office/drawing/2014/main" id="{00000000-0008-0000-0000-00003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71" name="Line 7">
          <a:extLst>
            <a:ext uri="{FF2B5EF4-FFF2-40B4-BE49-F238E27FC236}">
              <a16:creationId xmlns:a16="http://schemas.microsoft.com/office/drawing/2014/main" id="{00000000-0008-0000-0000-00003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72" name="Line 8">
          <a:extLst>
            <a:ext uri="{FF2B5EF4-FFF2-40B4-BE49-F238E27FC236}">
              <a16:creationId xmlns:a16="http://schemas.microsoft.com/office/drawing/2014/main" id="{00000000-0008-0000-0000-00004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73" name="Line 9">
          <a:extLst>
            <a:ext uri="{FF2B5EF4-FFF2-40B4-BE49-F238E27FC236}">
              <a16:creationId xmlns:a16="http://schemas.microsoft.com/office/drawing/2014/main" id="{00000000-0008-0000-0000-00004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74" name="Line 10">
          <a:extLst>
            <a:ext uri="{FF2B5EF4-FFF2-40B4-BE49-F238E27FC236}">
              <a16:creationId xmlns:a16="http://schemas.microsoft.com/office/drawing/2014/main" id="{00000000-0008-0000-0000-00004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75" name="Line 11">
          <a:extLst>
            <a:ext uri="{FF2B5EF4-FFF2-40B4-BE49-F238E27FC236}">
              <a16:creationId xmlns:a16="http://schemas.microsoft.com/office/drawing/2014/main" id="{00000000-0008-0000-0000-00004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76" name="Line 12">
          <a:extLst>
            <a:ext uri="{FF2B5EF4-FFF2-40B4-BE49-F238E27FC236}">
              <a16:creationId xmlns:a16="http://schemas.microsoft.com/office/drawing/2014/main" id="{00000000-0008-0000-0000-00004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77" name="Line 13">
          <a:extLst>
            <a:ext uri="{FF2B5EF4-FFF2-40B4-BE49-F238E27FC236}">
              <a16:creationId xmlns:a16="http://schemas.microsoft.com/office/drawing/2014/main" id="{00000000-0008-0000-0000-00004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78" name="Line 14">
          <a:extLst>
            <a:ext uri="{FF2B5EF4-FFF2-40B4-BE49-F238E27FC236}">
              <a16:creationId xmlns:a16="http://schemas.microsoft.com/office/drawing/2014/main" id="{00000000-0008-0000-0000-00004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79" name="Line 15">
          <a:extLst>
            <a:ext uri="{FF2B5EF4-FFF2-40B4-BE49-F238E27FC236}">
              <a16:creationId xmlns:a16="http://schemas.microsoft.com/office/drawing/2014/main" id="{00000000-0008-0000-0000-00004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80" name="Line 16">
          <a:extLst>
            <a:ext uri="{FF2B5EF4-FFF2-40B4-BE49-F238E27FC236}">
              <a16:creationId xmlns:a16="http://schemas.microsoft.com/office/drawing/2014/main" id="{00000000-0008-0000-0000-00004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81" name="Line 17">
          <a:extLst>
            <a:ext uri="{FF2B5EF4-FFF2-40B4-BE49-F238E27FC236}">
              <a16:creationId xmlns:a16="http://schemas.microsoft.com/office/drawing/2014/main" id="{00000000-0008-0000-0000-00004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82" name="Line 18">
          <a:extLst>
            <a:ext uri="{FF2B5EF4-FFF2-40B4-BE49-F238E27FC236}">
              <a16:creationId xmlns:a16="http://schemas.microsoft.com/office/drawing/2014/main" id="{00000000-0008-0000-0000-00004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83" name="Line 19">
          <a:extLst>
            <a:ext uri="{FF2B5EF4-FFF2-40B4-BE49-F238E27FC236}">
              <a16:creationId xmlns:a16="http://schemas.microsoft.com/office/drawing/2014/main" id="{00000000-0008-0000-0000-00004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84" name="Line 20">
          <a:extLst>
            <a:ext uri="{FF2B5EF4-FFF2-40B4-BE49-F238E27FC236}">
              <a16:creationId xmlns:a16="http://schemas.microsoft.com/office/drawing/2014/main" id="{00000000-0008-0000-0000-00004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85" name="Line 21">
          <a:extLst>
            <a:ext uri="{FF2B5EF4-FFF2-40B4-BE49-F238E27FC236}">
              <a16:creationId xmlns:a16="http://schemas.microsoft.com/office/drawing/2014/main" id="{00000000-0008-0000-0000-00004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86" name="Line 22">
          <a:extLst>
            <a:ext uri="{FF2B5EF4-FFF2-40B4-BE49-F238E27FC236}">
              <a16:creationId xmlns:a16="http://schemas.microsoft.com/office/drawing/2014/main" id="{00000000-0008-0000-0000-00004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87" name="Line 23">
          <a:extLst>
            <a:ext uri="{FF2B5EF4-FFF2-40B4-BE49-F238E27FC236}">
              <a16:creationId xmlns:a16="http://schemas.microsoft.com/office/drawing/2014/main" id="{00000000-0008-0000-0000-00004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88" name="Line 24">
          <a:extLst>
            <a:ext uri="{FF2B5EF4-FFF2-40B4-BE49-F238E27FC236}">
              <a16:creationId xmlns:a16="http://schemas.microsoft.com/office/drawing/2014/main" id="{00000000-0008-0000-0000-00005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89" name="Line 25">
          <a:extLst>
            <a:ext uri="{FF2B5EF4-FFF2-40B4-BE49-F238E27FC236}">
              <a16:creationId xmlns:a16="http://schemas.microsoft.com/office/drawing/2014/main" id="{00000000-0008-0000-0000-00005141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90" name="Line 26">
          <a:extLst>
            <a:ext uri="{FF2B5EF4-FFF2-40B4-BE49-F238E27FC236}">
              <a16:creationId xmlns:a16="http://schemas.microsoft.com/office/drawing/2014/main" id="{00000000-0008-0000-0000-00005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91" name="Line 27">
          <a:extLst>
            <a:ext uri="{FF2B5EF4-FFF2-40B4-BE49-F238E27FC236}">
              <a16:creationId xmlns:a16="http://schemas.microsoft.com/office/drawing/2014/main" id="{00000000-0008-0000-0000-00005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92" name="Line 28">
          <a:extLst>
            <a:ext uri="{FF2B5EF4-FFF2-40B4-BE49-F238E27FC236}">
              <a16:creationId xmlns:a16="http://schemas.microsoft.com/office/drawing/2014/main" id="{00000000-0008-0000-0000-00005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93" name="Line 29">
          <a:extLst>
            <a:ext uri="{FF2B5EF4-FFF2-40B4-BE49-F238E27FC236}">
              <a16:creationId xmlns:a16="http://schemas.microsoft.com/office/drawing/2014/main" id="{00000000-0008-0000-0000-00005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94" name="Line 30">
          <a:extLst>
            <a:ext uri="{FF2B5EF4-FFF2-40B4-BE49-F238E27FC236}">
              <a16:creationId xmlns:a16="http://schemas.microsoft.com/office/drawing/2014/main" id="{00000000-0008-0000-0000-00005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95" name="Line 31">
          <a:extLst>
            <a:ext uri="{FF2B5EF4-FFF2-40B4-BE49-F238E27FC236}">
              <a16:creationId xmlns:a16="http://schemas.microsoft.com/office/drawing/2014/main" id="{00000000-0008-0000-0000-00005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96" name="Line 32">
          <a:extLst>
            <a:ext uri="{FF2B5EF4-FFF2-40B4-BE49-F238E27FC236}">
              <a16:creationId xmlns:a16="http://schemas.microsoft.com/office/drawing/2014/main" id="{00000000-0008-0000-0000-00005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97" name="Line 33">
          <a:extLst>
            <a:ext uri="{FF2B5EF4-FFF2-40B4-BE49-F238E27FC236}">
              <a16:creationId xmlns:a16="http://schemas.microsoft.com/office/drawing/2014/main" id="{00000000-0008-0000-0000-00005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098" name="Line 34">
          <a:extLst>
            <a:ext uri="{FF2B5EF4-FFF2-40B4-BE49-F238E27FC236}">
              <a16:creationId xmlns:a16="http://schemas.microsoft.com/office/drawing/2014/main" id="{00000000-0008-0000-0000-00005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099" name="Line 35">
          <a:extLst>
            <a:ext uri="{FF2B5EF4-FFF2-40B4-BE49-F238E27FC236}">
              <a16:creationId xmlns:a16="http://schemas.microsoft.com/office/drawing/2014/main" id="{00000000-0008-0000-0000-00005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00" name="Line 36">
          <a:extLst>
            <a:ext uri="{FF2B5EF4-FFF2-40B4-BE49-F238E27FC236}">
              <a16:creationId xmlns:a16="http://schemas.microsoft.com/office/drawing/2014/main" id="{00000000-0008-0000-0000-00005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01" name="Line 37">
          <a:extLst>
            <a:ext uri="{FF2B5EF4-FFF2-40B4-BE49-F238E27FC236}">
              <a16:creationId xmlns:a16="http://schemas.microsoft.com/office/drawing/2014/main" id="{00000000-0008-0000-0000-00005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02" name="Line 38">
          <a:extLst>
            <a:ext uri="{FF2B5EF4-FFF2-40B4-BE49-F238E27FC236}">
              <a16:creationId xmlns:a16="http://schemas.microsoft.com/office/drawing/2014/main" id="{00000000-0008-0000-0000-00005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03" name="Line 39">
          <a:extLst>
            <a:ext uri="{FF2B5EF4-FFF2-40B4-BE49-F238E27FC236}">
              <a16:creationId xmlns:a16="http://schemas.microsoft.com/office/drawing/2014/main" id="{00000000-0008-0000-0000-00005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04" name="Line 40">
          <a:extLst>
            <a:ext uri="{FF2B5EF4-FFF2-40B4-BE49-F238E27FC236}">
              <a16:creationId xmlns:a16="http://schemas.microsoft.com/office/drawing/2014/main" id="{00000000-0008-0000-0000-00006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05" name="Line 41">
          <a:extLst>
            <a:ext uri="{FF2B5EF4-FFF2-40B4-BE49-F238E27FC236}">
              <a16:creationId xmlns:a16="http://schemas.microsoft.com/office/drawing/2014/main" id="{00000000-0008-0000-0000-00006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06" name="Line 42">
          <a:extLst>
            <a:ext uri="{FF2B5EF4-FFF2-40B4-BE49-F238E27FC236}">
              <a16:creationId xmlns:a16="http://schemas.microsoft.com/office/drawing/2014/main" id="{00000000-0008-0000-0000-00006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07" name="Line 43">
          <a:extLst>
            <a:ext uri="{FF2B5EF4-FFF2-40B4-BE49-F238E27FC236}">
              <a16:creationId xmlns:a16="http://schemas.microsoft.com/office/drawing/2014/main" id="{00000000-0008-0000-0000-00006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08" name="Line 44">
          <a:extLst>
            <a:ext uri="{FF2B5EF4-FFF2-40B4-BE49-F238E27FC236}">
              <a16:creationId xmlns:a16="http://schemas.microsoft.com/office/drawing/2014/main" id="{00000000-0008-0000-0000-00006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09" name="Line 45">
          <a:extLst>
            <a:ext uri="{FF2B5EF4-FFF2-40B4-BE49-F238E27FC236}">
              <a16:creationId xmlns:a16="http://schemas.microsoft.com/office/drawing/2014/main" id="{00000000-0008-0000-0000-00006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10" name="Line 46">
          <a:extLst>
            <a:ext uri="{FF2B5EF4-FFF2-40B4-BE49-F238E27FC236}">
              <a16:creationId xmlns:a16="http://schemas.microsoft.com/office/drawing/2014/main" id="{00000000-0008-0000-0000-00006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11" name="Line 47">
          <a:extLst>
            <a:ext uri="{FF2B5EF4-FFF2-40B4-BE49-F238E27FC236}">
              <a16:creationId xmlns:a16="http://schemas.microsoft.com/office/drawing/2014/main" id="{00000000-0008-0000-0000-00006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12" name="Line 48">
          <a:extLst>
            <a:ext uri="{FF2B5EF4-FFF2-40B4-BE49-F238E27FC236}">
              <a16:creationId xmlns:a16="http://schemas.microsoft.com/office/drawing/2014/main" id="{00000000-0008-0000-0000-00006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13" name="Line 49">
          <a:extLst>
            <a:ext uri="{FF2B5EF4-FFF2-40B4-BE49-F238E27FC236}">
              <a16:creationId xmlns:a16="http://schemas.microsoft.com/office/drawing/2014/main" id="{00000000-0008-0000-0000-00006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14" name="Line 50">
          <a:extLst>
            <a:ext uri="{FF2B5EF4-FFF2-40B4-BE49-F238E27FC236}">
              <a16:creationId xmlns:a16="http://schemas.microsoft.com/office/drawing/2014/main" id="{00000000-0008-0000-0000-00006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15" name="Line 51">
          <a:extLst>
            <a:ext uri="{FF2B5EF4-FFF2-40B4-BE49-F238E27FC236}">
              <a16:creationId xmlns:a16="http://schemas.microsoft.com/office/drawing/2014/main" id="{00000000-0008-0000-0000-00006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16" name="Line 52">
          <a:extLst>
            <a:ext uri="{FF2B5EF4-FFF2-40B4-BE49-F238E27FC236}">
              <a16:creationId xmlns:a16="http://schemas.microsoft.com/office/drawing/2014/main" id="{00000000-0008-0000-0000-00006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17" name="Line 53">
          <a:extLst>
            <a:ext uri="{FF2B5EF4-FFF2-40B4-BE49-F238E27FC236}">
              <a16:creationId xmlns:a16="http://schemas.microsoft.com/office/drawing/2014/main" id="{00000000-0008-0000-0000-00006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18" name="Line 54">
          <a:extLst>
            <a:ext uri="{FF2B5EF4-FFF2-40B4-BE49-F238E27FC236}">
              <a16:creationId xmlns:a16="http://schemas.microsoft.com/office/drawing/2014/main" id="{00000000-0008-0000-0000-00006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19" name="Line 55">
          <a:extLst>
            <a:ext uri="{FF2B5EF4-FFF2-40B4-BE49-F238E27FC236}">
              <a16:creationId xmlns:a16="http://schemas.microsoft.com/office/drawing/2014/main" id="{00000000-0008-0000-0000-00006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20" name="Line 56">
          <a:extLst>
            <a:ext uri="{FF2B5EF4-FFF2-40B4-BE49-F238E27FC236}">
              <a16:creationId xmlns:a16="http://schemas.microsoft.com/office/drawing/2014/main" id="{00000000-0008-0000-0000-00007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21" name="Line 57">
          <a:extLst>
            <a:ext uri="{FF2B5EF4-FFF2-40B4-BE49-F238E27FC236}">
              <a16:creationId xmlns:a16="http://schemas.microsoft.com/office/drawing/2014/main" id="{00000000-0008-0000-0000-00007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22" name="Line 58">
          <a:extLst>
            <a:ext uri="{FF2B5EF4-FFF2-40B4-BE49-F238E27FC236}">
              <a16:creationId xmlns:a16="http://schemas.microsoft.com/office/drawing/2014/main" id="{00000000-0008-0000-0000-00007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23" name="Line 59">
          <a:extLst>
            <a:ext uri="{FF2B5EF4-FFF2-40B4-BE49-F238E27FC236}">
              <a16:creationId xmlns:a16="http://schemas.microsoft.com/office/drawing/2014/main" id="{00000000-0008-0000-0000-00007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24" name="Line 60">
          <a:extLst>
            <a:ext uri="{FF2B5EF4-FFF2-40B4-BE49-F238E27FC236}">
              <a16:creationId xmlns:a16="http://schemas.microsoft.com/office/drawing/2014/main" id="{00000000-0008-0000-0000-00007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25" name="Line 61">
          <a:extLst>
            <a:ext uri="{FF2B5EF4-FFF2-40B4-BE49-F238E27FC236}">
              <a16:creationId xmlns:a16="http://schemas.microsoft.com/office/drawing/2014/main" id="{00000000-0008-0000-0000-00007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26" name="Line 62">
          <a:extLst>
            <a:ext uri="{FF2B5EF4-FFF2-40B4-BE49-F238E27FC236}">
              <a16:creationId xmlns:a16="http://schemas.microsoft.com/office/drawing/2014/main" id="{00000000-0008-0000-0000-00007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27" name="Line 63">
          <a:extLst>
            <a:ext uri="{FF2B5EF4-FFF2-40B4-BE49-F238E27FC236}">
              <a16:creationId xmlns:a16="http://schemas.microsoft.com/office/drawing/2014/main" id="{00000000-0008-0000-0000-00007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28" name="Line 64">
          <a:extLst>
            <a:ext uri="{FF2B5EF4-FFF2-40B4-BE49-F238E27FC236}">
              <a16:creationId xmlns:a16="http://schemas.microsoft.com/office/drawing/2014/main" id="{00000000-0008-0000-0000-00007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29" name="Line 65">
          <a:extLst>
            <a:ext uri="{FF2B5EF4-FFF2-40B4-BE49-F238E27FC236}">
              <a16:creationId xmlns:a16="http://schemas.microsoft.com/office/drawing/2014/main" id="{00000000-0008-0000-0000-00007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30" name="Line 66">
          <a:extLst>
            <a:ext uri="{FF2B5EF4-FFF2-40B4-BE49-F238E27FC236}">
              <a16:creationId xmlns:a16="http://schemas.microsoft.com/office/drawing/2014/main" id="{00000000-0008-0000-0000-00007A41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31" name="Line 67">
          <a:extLst>
            <a:ext uri="{FF2B5EF4-FFF2-40B4-BE49-F238E27FC236}">
              <a16:creationId xmlns:a16="http://schemas.microsoft.com/office/drawing/2014/main" id="{00000000-0008-0000-0000-00007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32" name="Line 68">
          <a:extLst>
            <a:ext uri="{FF2B5EF4-FFF2-40B4-BE49-F238E27FC236}">
              <a16:creationId xmlns:a16="http://schemas.microsoft.com/office/drawing/2014/main" id="{00000000-0008-0000-0000-00007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33" name="Line 69">
          <a:extLst>
            <a:ext uri="{FF2B5EF4-FFF2-40B4-BE49-F238E27FC236}">
              <a16:creationId xmlns:a16="http://schemas.microsoft.com/office/drawing/2014/main" id="{00000000-0008-0000-0000-00007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34" name="Line 70">
          <a:extLst>
            <a:ext uri="{FF2B5EF4-FFF2-40B4-BE49-F238E27FC236}">
              <a16:creationId xmlns:a16="http://schemas.microsoft.com/office/drawing/2014/main" id="{00000000-0008-0000-0000-00007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35" name="Line 71">
          <a:extLst>
            <a:ext uri="{FF2B5EF4-FFF2-40B4-BE49-F238E27FC236}">
              <a16:creationId xmlns:a16="http://schemas.microsoft.com/office/drawing/2014/main" id="{00000000-0008-0000-0000-00007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36" name="Line 72">
          <a:extLst>
            <a:ext uri="{FF2B5EF4-FFF2-40B4-BE49-F238E27FC236}">
              <a16:creationId xmlns:a16="http://schemas.microsoft.com/office/drawing/2014/main" id="{00000000-0008-0000-0000-00008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37" name="Line 73">
          <a:extLst>
            <a:ext uri="{FF2B5EF4-FFF2-40B4-BE49-F238E27FC236}">
              <a16:creationId xmlns:a16="http://schemas.microsoft.com/office/drawing/2014/main" id="{00000000-0008-0000-0000-00008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38" name="Line 74">
          <a:extLst>
            <a:ext uri="{FF2B5EF4-FFF2-40B4-BE49-F238E27FC236}">
              <a16:creationId xmlns:a16="http://schemas.microsoft.com/office/drawing/2014/main" id="{00000000-0008-0000-0000-00008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39" name="Line 75">
          <a:extLst>
            <a:ext uri="{FF2B5EF4-FFF2-40B4-BE49-F238E27FC236}">
              <a16:creationId xmlns:a16="http://schemas.microsoft.com/office/drawing/2014/main" id="{00000000-0008-0000-0000-00008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40" name="Line 76">
          <a:extLst>
            <a:ext uri="{FF2B5EF4-FFF2-40B4-BE49-F238E27FC236}">
              <a16:creationId xmlns:a16="http://schemas.microsoft.com/office/drawing/2014/main" id="{00000000-0008-0000-0000-00008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41" name="Line 77">
          <a:extLst>
            <a:ext uri="{FF2B5EF4-FFF2-40B4-BE49-F238E27FC236}">
              <a16:creationId xmlns:a16="http://schemas.microsoft.com/office/drawing/2014/main" id="{00000000-0008-0000-0000-00008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42" name="Line 78">
          <a:extLst>
            <a:ext uri="{FF2B5EF4-FFF2-40B4-BE49-F238E27FC236}">
              <a16:creationId xmlns:a16="http://schemas.microsoft.com/office/drawing/2014/main" id="{00000000-0008-0000-0000-00008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43" name="Line 79">
          <a:extLst>
            <a:ext uri="{FF2B5EF4-FFF2-40B4-BE49-F238E27FC236}">
              <a16:creationId xmlns:a16="http://schemas.microsoft.com/office/drawing/2014/main" id="{00000000-0008-0000-0000-00008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44" name="Line 80">
          <a:extLst>
            <a:ext uri="{FF2B5EF4-FFF2-40B4-BE49-F238E27FC236}">
              <a16:creationId xmlns:a16="http://schemas.microsoft.com/office/drawing/2014/main" id="{00000000-0008-0000-0000-00008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45" name="Line 81">
          <a:extLst>
            <a:ext uri="{FF2B5EF4-FFF2-40B4-BE49-F238E27FC236}">
              <a16:creationId xmlns:a16="http://schemas.microsoft.com/office/drawing/2014/main" id="{00000000-0008-0000-0000-00008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46" name="Line 82">
          <a:extLst>
            <a:ext uri="{FF2B5EF4-FFF2-40B4-BE49-F238E27FC236}">
              <a16:creationId xmlns:a16="http://schemas.microsoft.com/office/drawing/2014/main" id="{00000000-0008-0000-0000-00008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47" name="Line 83">
          <a:extLst>
            <a:ext uri="{FF2B5EF4-FFF2-40B4-BE49-F238E27FC236}">
              <a16:creationId xmlns:a16="http://schemas.microsoft.com/office/drawing/2014/main" id="{00000000-0008-0000-0000-00008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48" name="Line 84">
          <a:extLst>
            <a:ext uri="{FF2B5EF4-FFF2-40B4-BE49-F238E27FC236}">
              <a16:creationId xmlns:a16="http://schemas.microsoft.com/office/drawing/2014/main" id="{00000000-0008-0000-0000-00008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49" name="Line 85">
          <a:extLst>
            <a:ext uri="{FF2B5EF4-FFF2-40B4-BE49-F238E27FC236}">
              <a16:creationId xmlns:a16="http://schemas.microsoft.com/office/drawing/2014/main" id="{00000000-0008-0000-0000-00008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50" name="Line 86">
          <a:extLst>
            <a:ext uri="{FF2B5EF4-FFF2-40B4-BE49-F238E27FC236}">
              <a16:creationId xmlns:a16="http://schemas.microsoft.com/office/drawing/2014/main" id="{00000000-0008-0000-0000-00008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51" name="Line 87">
          <a:extLst>
            <a:ext uri="{FF2B5EF4-FFF2-40B4-BE49-F238E27FC236}">
              <a16:creationId xmlns:a16="http://schemas.microsoft.com/office/drawing/2014/main" id="{00000000-0008-0000-0000-00008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52" name="Line 88">
          <a:extLst>
            <a:ext uri="{FF2B5EF4-FFF2-40B4-BE49-F238E27FC236}">
              <a16:creationId xmlns:a16="http://schemas.microsoft.com/office/drawing/2014/main" id="{00000000-0008-0000-0000-00009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53" name="Line 89">
          <a:extLst>
            <a:ext uri="{FF2B5EF4-FFF2-40B4-BE49-F238E27FC236}">
              <a16:creationId xmlns:a16="http://schemas.microsoft.com/office/drawing/2014/main" id="{00000000-0008-0000-0000-00009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54" name="Line 90">
          <a:extLst>
            <a:ext uri="{FF2B5EF4-FFF2-40B4-BE49-F238E27FC236}">
              <a16:creationId xmlns:a16="http://schemas.microsoft.com/office/drawing/2014/main" id="{00000000-0008-0000-0000-00009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55" name="Line 91">
          <a:extLst>
            <a:ext uri="{FF2B5EF4-FFF2-40B4-BE49-F238E27FC236}">
              <a16:creationId xmlns:a16="http://schemas.microsoft.com/office/drawing/2014/main" id="{00000000-0008-0000-0000-00009341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56" name="Line 92">
          <a:extLst>
            <a:ext uri="{FF2B5EF4-FFF2-40B4-BE49-F238E27FC236}">
              <a16:creationId xmlns:a16="http://schemas.microsoft.com/office/drawing/2014/main" id="{00000000-0008-0000-0000-00009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57" name="Line 93">
          <a:extLst>
            <a:ext uri="{FF2B5EF4-FFF2-40B4-BE49-F238E27FC236}">
              <a16:creationId xmlns:a16="http://schemas.microsoft.com/office/drawing/2014/main" id="{00000000-0008-0000-0000-00009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58" name="Line 94">
          <a:extLst>
            <a:ext uri="{FF2B5EF4-FFF2-40B4-BE49-F238E27FC236}">
              <a16:creationId xmlns:a16="http://schemas.microsoft.com/office/drawing/2014/main" id="{00000000-0008-0000-0000-00009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59" name="Line 95">
          <a:extLst>
            <a:ext uri="{FF2B5EF4-FFF2-40B4-BE49-F238E27FC236}">
              <a16:creationId xmlns:a16="http://schemas.microsoft.com/office/drawing/2014/main" id="{00000000-0008-0000-0000-00009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60" name="Line 96">
          <a:extLst>
            <a:ext uri="{FF2B5EF4-FFF2-40B4-BE49-F238E27FC236}">
              <a16:creationId xmlns:a16="http://schemas.microsoft.com/office/drawing/2014/main" id="{00000000-0008-0000-0000-00009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61" name="Line 97">
          <a:extLst>
            <a:ext uri="{FF2B5EF4-FFF2-40B4-BE49-F238E27FC236}">
              <a16:creationId xmlns:a16="http://schemas.microsoft.com/office/drawing/2014/main" id="{00000000-0008-0000-0000-00009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62" name="Line 98">
          <a:extLst>
            <a:ext uri="{FF2B5EF4-FFF2-40B4-BE49-F238E27FC236}">
              <a16:creationId xmlns:a16="http://schemas.microsoft.com/office/drawing/2014/main" id="{00000000-0008-0000-0000-00009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63" name="Line 99">
          <a:extLst>
            <a:ext uri="{FF2B5EF4-FFF2-40B4-BE49-F238E27FC236}">
              <a16:creationId xmlns:a16="http://schemas.microsoft.com/office/drawing/2014/main" id="{00000000-0008-0000-0000-00009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64" name="Line 100">
          <a:extLst>
            <a:ext uri="{FF2B5EF4-FFF2-40B4-BE49-F238E27FC236}">
              <a16:creationId xmlns:a16="http://schemas.microsoft.com/office/drawing/2014/main" id="{00000000-0008-0000-0000-00009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65" name="Line 101">
          <a:extLst>
            <a:ext uri="{FF2B5EF4-FFF2-40B4-BE49-F238E27FC236}">
              <a16:creationId xmlns:a16="http://schemas.microsoft.com/office/drawing/2014/main" id="{00000000-0008-0000-0000-00009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66" name="Line 102">
          <a:extLst>
            <a:ext uri="{FF2B5EF4-FFF2-40B4-BE49-F238E27FC236}">
              <a16:creationId xmlns:a16="http://schemas.microsoft.com/office/drawing/2014/main" id="{00000000-0008-0000-0000-00009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67" name="Line 103">
          <a:extLst>
            <a:ext uri="{FF2B5EF4-FFF2-40B4-BE49-F238E27FC236}">
              <a16:creationId xmlns:a16="http://schemas.microsoft.com/office/drawing/2014/main" id="{00000000-0008-0000-0000-00009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68" name="Line 104">
          <a:extLst>
            <a:ext uri="{FF2B5EF4-FFF2-40B4-BE49-F238E27FC236}">
              <a16:creationId xmlns:a16="http://schemas.microsoft.com/office/drawing/2014/main" id="{00000000-0008-0000-0000-0000A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69" name="Line 105">
          <a:extLst>
            <a:ext uri="{FF2B5EF4-FFF2-40B4-BE49-F238E27FC236}">
              <a16:creationId xmlns:a16="http://schemas.microsoft.com/office/drawing/2014/main" id="{00000000-0008-0000-0000-0000A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70" name="Line 106">
          <a:extLst>
            <a:ext uri="{FF2B5EF4-FFF2-40B4-BE49-F238E27FC236}">
              <a16:creationId xmlns:a16="http://schemas.microsoft.com/office/drawing/2014/main" id="{00000000-0008-0000-0000-0000A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71" name="Line 107">
          <a:extLst>
            <a:ext uri="{FF2B5EF4-FFF2-40B4-BE49-F238E27FC236}">
              <a16:creationId xmlns:a16="http://schemas.microsoft.com/office/drawing/2014/main" id="{00000000-0008-0000-0000-0000A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72" name="Line 108">
          <a:extLst>
            <a:ext uri="{FF2B5EF4-FFF2-40B4-BE49-F238E27FC236}">
              <a16:creationId xmlns:a16="http://schemas.microsoft.com/office/drawing/2014/main" id="{00000000-0008-0000-0000-0000A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73" name="Line 109">
          <a:extLst>
            <a:ext uri="{FF2B5EF4-FFF2-40B4-BE49-F238E27FC236}">
              <a16:creationId xmlns:a16="http://schemas.microsoft.com/office/drawing/2014/main" id="{00000000-0008-0000-0000-0000A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74" name="Line 110">
          <a:extLst>
            <a:ext uri="{FF2B5EF4-FFF2-40B4-BE49-F238E27FC236}">
              <a16:creationId xmlns:a16="http://schemas.microsoft.com/office/drawing/2014/main" id="{00000000-0008-0000-0000-0000A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75" name="Line 111">
          <a:extLst>
            <a:ext uri="{FF2B5EF4-FFF2-40B4-BE49-F238E27FC236}">
              <a16:creationId xmlns:a16="http://schemas.microsoft.com/office/drawing/2014/main" id="{00000000-0008-0000-0000-0000A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76" name="Line 112">
          <a:extLst>
            <a:ext uri="{FF2B5EF4-FFF2-40B4-BE49-F238E27FC236}">
              <a16:creationId xmlns:a16="http://schemas.microsoft.com/office/drawing/2014/main" id="{00000000-0008-0000-0000-0000A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77" name="Line 113">
          <a:extLst>
            <a:ext uri="{FF2B5EF4-FFF2-40B4-BE49-F238E27FC236}">
              <a16:creationId xmlns:a16="http://schemas.microsoft.com/office/drawing/2014/main" id="{00000000-0008-0000-0000-0000A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78" name="Line 114">
          <a:extLst>
            <a:ext uri="{FF2B5EF4-FFF2-40B4-BE49-F238E27FC236}">
              <a16:creationId xmlns:a16="http://schemas.microsoft.com/office/drawing/2014/main" id="{00000000-0008-0000-0000-0000A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79" name="Line 115">
          <a:extLst>
            <a:ext uri="{FF2B5EF4-FFF2-40B4-BE49-F238E27FC236}">
              <a16:creationId xmlns:a16="http://schemas.microsoft.com/office/drawing/2014/main" id="{00000000-0008-0000-0000-0000A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80" name="Line 116">
          <a:extLst>
            <a:ext uri="{FF2B5EF4-FFF2-40B4-BE49-F238E27FC236}">
              <a16:creationId xmlns:a16="http://schemas.microsoft.com/office/drawing/2014/main" id="{00000000-0008-0000-0000-0000A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81" name="Line 117">
          <a:extLst>
            <a:ext uri="{FF2B5EF4-FFF2-40B4-BE49-F238E27FC236}">
              <a16:creationId xmlns:a16="http://schemas.microsoft.com/office/drawing/2014/main" id="{00000000-0008-0000-0000-0000A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82" name="Line 118">
          <a:extLst>
            <a:ext uri="{FF2B5EF4-FFF2-40B4-BE49-F238E27FC236}">
              <a16:creationId xmlns:a16="http://schemas.microsoft.com/office/drawing/2014/main" id="{00000000-0008-0000-0000-0000A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83" name="Line 119">
          <a:extLst>
            <a:ext uri="{FF2B5EF4-FFF2-40B4-BE49-F238E27FC236}">
              <a16:creationId xmlns:a16="http://schemas.microsoft.com/office/drawing/2014/main" id="{00000000-0008-0000-0000-0000A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84" name="Line 120">
          <a:extLst>
            <a:ext uri="{FF2B5EF4-FFF2-40B4-BE49-F238E27FC236}">
              <a16:creationId xmlns:a16="http://schemas.microsoft.com/office/drawing/2014/main" id="{00000000-0008-0000-0000-0000B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85" name="Line 121">
          <a:extLst>
            <a:ext uri="{FF2B5EF4-FFF2-40B4-BE49-F238E27FC236}">
              <a16:creationId xmlns:a16="http://schemas.microsoft.com/office/drawing/2014/main" id="{00000000-0008-0000-0000-0000B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86" name="Line 122">
          <a:extLst>
            <a:ext uri="{FF2B5EF4-FFF2-40B4-BE49-F238E27FC236}">
              <a16:creationId xmlns:a16="http://schemas.microsoft.com/office/drawing/2014/main" id="{00000000-0008-0000-0000-0000B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87" name="Line 123">
          <a:extLst>
            <a:ext uri="{FF2B5EF4-FFF2-40B4-BE49-F238E27FC236}">
              <a16:creationId xmlns:a16="http://schemas.microsoft.com/office/drawing/2014/main" id="{00000000-0008-0000-0000-0000B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88" name="Line 124">
          <a:extLst>
            <a:ext uri="{FF2B5EF4-FFF2-40B4-BE49-F238E27FC236}">
              <a16:creationId xmlns:a16="http://schemas.microsoft.com/office/drawing/2014/main" id="{00000000-0008-0000-0000-0000B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89" name="Line 125">
          <a:extLst>
            <a:ext uri="{FF2B5EF4-FFF2-40B4-BE49-F238E27FC236}">
              <a16:creationId xmlns:a16="http://schemas.microsoft.com/office/drawing/2014/main" id="{00000000-0008-0000-0000-0000B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90" name="Line 126">
          <a:extLst>
            <a:ext uri="{FF2B5EF4-FFF2-40B4-BE49-F238E27FC236}">
              <a16:creationId xmlns:a16="http://schemas.microsoft.com/office/drawing/2014/main" id="{00000000-0008-0000-0000-0000B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91" name="Line 127">
          <a:extLst>
            <a:ext uri="{FF2B5EF4-FFF2-40B4-BE49-F238E27FC236}">
              <a16:creationId xmlns:a16="http://schemas.microsoft.com/office/drawing/2014/main" id="{00000000-0008-0000-0000-0000B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92" name="Line 128">
          <a:extLst>
            <a:ext uri="{FF2B5EF4-FFF2-40B4-BE49-F238E27FC236}">
              <a16:creationId xmlns:a16="http://schemas.microsoft.com/office/drawing/2014/main" id="{00000000-0008-0000-0000-0000B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93" name="Line 129">
          <a:extLst>
            <a:ext uri="{FF2B5EF4-FFF2-40B4-BE49-F238E27FC236}">
              <a16:creationId xmlns:a16="http://schemas.microsoft.com/office/drawing/2014/main" id="{00000000-0008-0000-0000-0000B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94" name="Line 130">
          <a:extLst>
            <a:ext uri="{FF2B5EF4-FFF2-40B4-BE49-F238E27FC236}">
              <a16:creationId xmlns:a16="http://schemas.microsoft.com/office/drawing/2014/main" id="{00000000-0008-0000-0000-0000B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95" name="Line 131">
          <a:extLst>
            <a:ext uri="{FF2B5EF4-FFF2-40B4-BE49-F238E27FC236}">
              <a16:creationId xmlns:a16="http://schemas.microsoft.com/office/drawing/2014/main" id="{00000000-0008-0000-0000-0000B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96" name="Line 132">
          <a:extLst>
            <a:ext uri="{FF2B5EF4-FFF2-40B4-BE49-F238E27FC236}">
              <a16:creationId xmlns:a16="http://schemas.microsoft.com/office/drawing/2014/main" id="{00000000-0008-0000-0000-0000BC41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97" name="Line 133">
          <a:extLst>
            <a:ext uri="{FF2B5EF4-FFF2-40B4-BE49-F238E27FC236}">
              <a16:creationId xmlns:a16="http://schemas.microsoft.com/office/drawing/2014/main" id="{00000000-0008-0000-0000-0000B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198" name="Line 134">
          <a:extLst>
            <a:ext uri="{FF2B5EF4-FFF2-40B4-BE49-F238E27FC236}">
              <a16:creationId xmlns:a16="http://schemas.microsoft.com/office/drawing/2014/main" id="{00000000-0008-0000-0000-0000B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199" name="Line 135">
          <a:extLst>
            <a:ext uri="{FF2B5EF4-FFF2-40B4-BE49-F238E27FC236}">
              <a16:creationId xmlns:a16="http://schemas.microsoft.com/office/drawing/2014/main" id="{00000000-0008-0000-0000-0000B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00" name="Line 136">
          <a:extLst>
            <a:ext uri="{FF2B5EF4-FFF2-40B4-BE49-F238E27FC236}">
              <a16:creationId xmlns:a16="http://schemas.microsoft.com/office/drawing/2014/main" id="{00000000-0008-0000-0000-0000C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01" name="Line 137">
          <a:extLst>
            <a:ext uri="{FF2B5EF4-FFF2-40B4-BE49-F238E27FC236}">
              <a16:creationId xmlns:a16="http://schemas.microsoft.com/office/drawing/2014/main" id="{00000000-0008-0000-0000-0000C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02" name="Line 138">
          <a:extLst>
            <a:ext uri="{FF2B5EF4-FFF2-40B4-BE49-F238E27FC236}">
              <a16:creationId xmlns:a16="http://schemas.microsoft.com/office/drawing/2014/main" id="{00000000-0008-0000-0000-0000C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03" name="Line 139">
          <a:extLst>
            <a:ext uri="{FF2B5EF4-FFF2-40B4-BE49-F238E27FC236}">
              <a16:creationId xmlns:a16="http://schemas.microsoft.com/office/drawing/2014/main" id="{00000000-0008-0000-0000-0000C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04" name="Line 140">
          <a:extLst>
            <a:ext uri="{FF2B5EF4-FFF2-40B4-BE49-F238E27FC236}">
              <a16:creationId xmlns:a16="http://schemas.microsoft.com/office/drawing/2014/main" id="{00000000-0008-0000-0000-0000C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05" name="Line 141">
          <a:extLst>
            <a:ext uri="{FF2B5EF4-FFF2-40B4-BE49-F238E27FC236}">
              <a16:creationId xmlns:a16="http://schemas.microsoft.com/office/drawing/2014/main" id="{00000000-0008-0000-0000-0000C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06" name="Line 142">
          <a:extLst>
            <a:ext uri="{FF2B5EF4-FFF2-40B4-BE49-F238E27FC236}">
              <a16:creationId xmlns:a16="http://schemas.microsoft.com/office/drawing/2014/main" id="{00000000-0008-0000-0000-0000C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07" name="Line 143">
          <a:extLst>
            <a:ext uri="{FF2B5EF4-FFF2-40B4-BE49-F238E27FC236}">
              <a16:creationId xmlns:a16="http://schemas.microsoft.com/office/drawing/2014/main" id="{00000000-0008-0000-0000-0000C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08" name="Line 144">
          <a:extLst>
            <a:ext uri="{FF2B5EF4-FFF2-40B4-BE49-F238E27FC236}">
              <a16:creationId xmlns:a16="http://schemas.microsoft.com/office/drawing/2014/main" id="{00000000-0008-0000-0000-0000C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09" name="Line 145">
          <a:extLst>
            <a:ext uri="{FF2B5EF4-FFF2-40B4-BE49-F238E27FC236}">
              <a16:creationId xmlns:a16="http://schemas.microsoft.com/office/drawing/2014/main" id="{00000000-0008-0000-0000-0000C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10" name="Line 146">
          <a:extLst>
            <a:ext uri="{FF2B5EF4-FFF2-40B4-BE49-F238E27FC236}">
              <a16:creationId xmlns:a16="http://schemas.microsoft.com/office/drawing/2014/main" id="{00000000-0008-0000-0000-0000C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11" name="Line 147">
          <a:extLst>
            <a:ext uri="{FF2B5EF4-FFF2-40B4-BE49-F238E27FC236}">
              <a16:creationId xmlns:a16="http://schemas.microsoft.com/office/drawing/2014/main" id="{00000000-0008-0000-0000-0000C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12" name="Line 148">
          <a:extLst>
            <a:ext uri="{FF2B5EF4-FFF2-40B4-BE49-F238E27FC236}">
              <a16:creationId xmlns:a16="http://schemas.microsoft.com/office/drawing/2014/main" id="{00000000-0008-0000-0000-0000C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13" name="Line 149">
          <a:extLst>
            <a:ext uri="{FF2B5EF4-FFF2-40B4-BE49-F238E27FC236}">
              <a16:creationId xmlns:a16="http://schemas.microsoft.com/office/drawing/2014/main" id="{00000000-0008-0000-0000-0000C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14" name="Line 150">
          <a:extLst>
            <a:ext uri="{FF2B5EF4-FFF2-40B4-BE49-F238E27FC236}">
              <a16:creationId xmlns:a16="http://schemas.microsoft.com/office/drawing/2014/main" id="{00000000-0008-0000-0000-0000C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15" name="Line 151">
          <a:extLst>
            <a:ext uri="{FF2B5EF4-FFF2-40B4-BE49-F238E27FC236}">
              <a16:creationId xmlns:a16="http://schemas.microsoft.com/office/drawing/2014/main" id="{00000000-0008-0000-0000-0000C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16" name="Line 152">
          <a:extLst>
            <a:ext uri="{FF2B5EF4-FFF2-40B4-BE49-F238E27FC236}">
              <a16:creationId xmlns:a16="http://schemas.microsoft.com/office/drawing/2014/main" id="{00000000-0008-0000-0000-0000D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17" name="Line 153">
          <a:extLst>
            <a:ext uri="{FF2B5EF4-FFF2-40B4-BE49-F238E27FC236}">
              <a16:creationId xmlns:a16="http://schemas.microsoft.com/office/drawing/2014/main" id="{00000000-0008-0000-0000-0000D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18" name="Line 154">
          <a:extLst>
            <a:ext uri="{FF2B5EF4-FFF2-40B4-BE49-F238E27FC236}">
              <a16:creationId xmlns:a16="http://schemas.microsoft.com/office/drawing/2014/main" id="{00000000-0008-0000-0000-0000D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19" name="Line 155">
          <a:extLst>
            <a:ext uri="{FF2B5EF4-FFF2-40B4-BE49-F238E27FC236}">
              <a16:creationId xmlns:a16="http://schemas.microsoft.com/office/drawing/2014/main" id="{00000000-0008-0000-0000-0000D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20" name="Line 156">
          <a:extLst>
            <a:ext uri="{FF2B5EF4-FFF2-40B4-BE49-F238E27FC236}">
              <a16:creationId xmlns:a16="http://schemas.microsoft.com/office/drawing/2014/main" id="{00000000-0008-0000-0000-0000D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21" name="Line 157">
          <a:extLst>
            <a:ext uri="{FF2B5EF4-FFF2-40B4-BE49-F238E27FC236}">
              <a16:creationId xmlns:a16="http://schemas.microsoft.com/office/drawing/2014/main" id="{00000000-0008-0000-0000-0000D541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22" name="Line 158">
          <a:extLst>
            <a:ext uri="{FF2B5EF4-FFF2-40B4-BE49-F238E27FC236}">
              <a16:creationId xmlns:a16="http://schemas.microsoft.com/office/drawing/2014/main" id="{00000000-0008-0000-0000-0000D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23" name="Line 159">
          <a:extLst>
            <a:ext uri="{FF2B5EF4-FFF2-40B4-BE49-F238E27FC236}">
              <a16:creationId xmlns:a16="http://schemas.microsoft.com/office/drawing/2014/main" id="{00000000-0008-0000-0000-0000D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24" name="Line 160">
          <a:extLst>
            <a:ext uri="{FF2B5EF4-FFF2-40B4-BE49-F238E27FC236}">
              <a16:creationId xmlns:a16="http://schemas.microsoft.com/office/drawing/2014/main" id="{00000000-0008-0000-0000-0000D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25" name="Line 161">
          <a:extLst>
            <a:ext uri="{FF2B5EF4-FFF2-40B4-BE49-F238E27FC236}">
              <a16:creationId xmlns:a16="http://schemas.microsoft.com/office/drawing/2014/main" id="{00000000-0008-0000-0000-0000D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26" name="Line 162">
          <a:extLst>
            <a:ext uri="{FF2B5EF4-FFF2-40B4-BE49-F238E27FC236}">
              <a16:creationId xmlns:a16="http://schemas.microsoft.com/office/drawing/2014/main" id="{00000000-0008-0000-0000-0000D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27" name="Line 163">
          <a:extLst>
            <a:ext uri="{FF2B5EF4-FFF2-40B4-BE49-F238E27FC236}">
              <a16:creationId xmlns:a16="http://schemas.microsoft.com/office/drawing/2014/main" id="{00000000-0008-0000-0000-0000D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28" name="Line 164">
          <a:extLst>
            <a:ext uri="{FF2B5EF4-FFF2-40B4-BE49-F238E27FC236}">
              <a16:creationId xmlns:a16="http://schemas.microsoft.com/office/drawing/2014/main" id="{00000000-0008-0000-0000-0000D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29" name="Line 165">
          <a:extLst>
            <a:ext uri="{FF2B5EF4-FFF2-40B4-BE49-F238E27FC236}">
              <a16:creationId xmlns:a16="http://schemas.microsoft.com/office/drawing/2014/main" id="{00000000-0008-0000-0000-0000D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30" name="Line 166">
          <a:extLst>
            <a:ext uri="{FF2B5EF4-FFF2-40B4-BE49-F238E27FC236}">
              <a16:creationId xmlns:a16="http://schemas.microsoft.com/office/drawing/2014/main" id="{00000000-0008-0000-0000-0000D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31" name="Line 167">
          <a:extLst>
            <a:ext uri="{FF2B5EF4-FFF2-40B4-BE49-F238E27FC236}">
              <a16:creationId xmlns:a16="http://schemas.microsoft.com/office/drawing/2014/main" id="{00000000-0008-0000-0000-0000D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32" name="Line 168">
          <a:extLst>
            <a:ext uri="{FF2B5EF4-FFF2-40B4-BE49-F238E27FC236}">
              <a16:creationId xmlns:a16="http://schemas.microsoft.com/office/drawing/2014/main" id="{00000000-0008-0000-0000-0000E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33" name="Line 169">
          <a:extLst>
            <a:ext uri="{FF2B5EF4-FFF2-40B4-BE49-F238E27FC236}">
              <a16:creationId xmlns:a16="http://schemas.microsoft.com/office/drawing/2014/main" id="{00000000-0008-0000-0000-0000E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34" name="Line 170">
          <a:extLst>
            <a:ext uri="{FF2B5EF4-FFF2-40B4-BE49-F238E27FC236}">
              <a16:creationId xmlns:a16="http://schemas.microsoft.com/office/drawing/2014/main" id="{00000000-0008-0000-0000-0000E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35" name="Line 171">
          <a:extLst>
            <a:ext uri="{FF2B5EF4-FFF2-40B4-BE49-F238E27FC236}">
              <a16:creationId xmlns:a16="http://schemas.microsoft.com/office/drawing/2014/main" id="{00000000-0008-0000-0000-0000E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36" name="Line 172">
          <a:extLst>
            <a:ext uri="{FF2B5EF4-FFF2-40B4-BE49-F238E27FC236}">
              <a16:creationId xmlns:a16="http://schemas.microsoft.com/office/drawing/2014/main" id="{00000000-0008-0000-0000-0000E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37" name="Line 173">
          <a:extLst>
            <a:ext uri="{FF2B5EF4-FFF2-40B4-BE49-F238E27FC236}">
              <a16:creationId xmlns:a16="http://schemas.microsoft.com/office/drawing/2014/main" id="{00000000-0008-0000-0000-0000E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38" name="Line 174">
          <a:extLst>
            <a:ext uri="{FF2B5EF4-FFF2-40B4-BE49-F238E27FC236}">
              <a16:creationId xmlns:a16="http://schemas.microsoft.com/office/drawing/2014/main" id="{00000000-0008-0000-0000-0000E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39" name="Line 175">
          <a:extLst>
            <a:ext uri="{FF2B5EF4-FFF2-40B4-BE49-F238E27FC236}">
              <a16:creationId xmlns:a16="http://schemas.microsoft.com/office/drawing/2014/main" id="{00000000-0008-0000-0000-0000E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40" name="Line 176">
          <a:extLst>
            <a:ext uri="{FF2B5EF4-FFF2-40B4-BE49-F238E27FC236}">
              <a16:creationId xmlns:a16="http://schemas.microsoft.com/office/drawing/2014/main" id="{00000000-0008-0000-0000-0000E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41" name="Line 177">
          <a:extLst>
            <a:ext uri="{FF2B5EF4-FFF2-40B4-BE49-F238E27FC236}">
              <a16:creationId xmlns:a16="http://schemas.microsoft.com/office/drawing/2014/main" id="{00000000-0008-0000-0000-0000E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42" name="Line 178">
          <a:extLst>
            <a:ext uri="{FF2B5EF4-FFF2-40B4-BE49-F238E27FC236}">
              <a16:creationId xmlns:a16="http://schemas.microsoft.com/office/drawing/2014/main" id="{00000000-0008-0000-0000-0000E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43" name="Line 179">
          <a:extLst>
            <a:ext uri="{FF2B5EF4-FFF2-40B4-BE49-F238E27FC236}">
              <a16:creationId xmlns:a16="http://schemas.microsoft.com/office/drawing/2014/main" id="{00000000-0008-0000-0000-0000E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44" name="Line 180">
          <a:extLst>
            <a:ext uri="{FF2B5EF4-FFF2-40B4-BE49-F238E27FC236}">
              <a16:creationId xmlns:a16="http://schemas.microsoft.com/office/drawing/2014/main" id="{00000000-0008-0000-0000-0000E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45" name="Line 181">
          <a:extLst>
            <a:ext uri="{FF2B5EF4-FFF2-40B4-BE49-F238E27FC236}">
              <a16:creationId xmlns:a16="http://schemas.microsoft.com/office/drawing/2014/main" id="{00000000-0008-0000-0000-0000E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46" name="Line 182">
          <a:extLst>
            <a:ext uri="{FF2B5EF4-FFF2-40B4-BE49-F238E27FC236}">
              <a16:creationId xmlns:a16="http://schemas.microsoft.com/office/drawing/2014/main" id="{00000000-0008-0000-0000-0000EE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47" name="Line 183">
          <a:extLst>
            <a:ext uri="{FF2B5EF4-FFF2-40B4-BE49-F238E27FC236}">
              <a16:creationId xmlns:a16="http://schemas.microsoft.com/office/drawing/2014/main" id="{00000000-0008-0000-0000-0000E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48" name="Line 184">
          <a:extLst>
            <a:ext uri="{FF2B5EF4-FFF2-40B4-BE49-F238E27FC236}">
              <a16:creationId xmlns:a16="http://schemas.microsoft.com/office/drawing/2014/main" id="{00000000-0008-0000-0000-0000F0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49" name="Line 185">
          <a:extLst>
            <a:ext uri="{FF2B5EF4-FFF2-40B4-BE49-F238E27FC236}">
              <a16:creationId xmlns:a16="http://schemas.microsoft.com/office/drawing/2014/main" id="{00000000-0008-0000-0000-0000F1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50" name="Line 186">
          <a:extLst>
            <a:ext uri="{FF2B5EF4-FFF2-40B4-BE49-F238E27FC236}">
              <a16:creationId xmlns:a16="http://schemas.microsoft.com/office/drawing/2014/main" id="{00000000-0008-0000-0000-0000F2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51" name="Line 187">
          <a:extLst>
            <a:ext uri="{FF2B5EF4-FFF2-40B4-BE49-F238E27FC236}">
              <a16:creationId xmlns:a16="http://schemas.microsoft.com/office/drawing/2014/main" id="{00000000-0008-0000-0000-0000F3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52" name="Line 188">
          <a:extLst>
            <a:ext uri="{FF2B5EF4-FFF2-40B4-BE49-F238E27FC236}">
              <a16:creationId xmlns:a16="http://schemas.microsoft.com/office/drawing/2014/main" id="{00000000-0008-0000-0000-0000F4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53" name="Line 189">
          <a:extLst>
            <a:ext uri="{FF2B5EF4-FFF2-40B4-BE49-F238E27FC236}">
              <a16:creationId xmlns:a16="http://schemas.microsoft.com/office/drawing/2014/main" id="{00000000-0008-0000-0000-0000F5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54" name="Line 190">
          <a:extLst>
            <a:ext uri="{FF2B5EF4-FFF2-40B4-BE49-F238E27FC236}">
              <a16:creationId xmlns:a16="http://schemas.microsoft.com/office/drawing/2014/main" id="{00000000-0008-0000-0000-0000F6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55" name="Line 191">
          <a:extLst>
            <a:ext uri="{FF2B5EF4-FFF2-40B4-BE49-F238E27FC236}">
              <a16:creationId xmlns:a16="http://schemas.microsoft.com/office/drawing/2014/main" id="{00000000-0008-0000-0000-0000F7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56" name="Line 192">
          <a:extLst>
            <a:ext uri="{FF2B5EF4-FFF2-40B4-BE49-F238E27FC236}">
              <a16:creationId xmlns:a16="http://schemas.microsoft.com/office/drawing/2014/main" id="{00000000-0008-0000-0000-0000F8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57" name="Line 193">
          <a:extLst>
            <a:ext uri="{FF2B5EF4-FFF2-40B4-BE49-F238E27FC236}">
              <a16:creationId xmlns:a16="http://schemas.microsoft.com/office/drawing/2014/main" id="{00000000-0008-0000-0000-0000F9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58" name="Line 194">
          <a:extLst>
            <a:ext uri="{FF2B5EF4-FFF2-40B4-BE49-F238E27FC236}">
              <a16:creationId xmlns:a16="http://schemas.microsoft.com/office/drawing/2014/main" id="{00000000-0008-0000-0000-0000FA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59" name="Line 195">
          <a:extLst>
            <a:ext uri="{FF2B5EF4-FFF2-40B4-BE49-F238E27FC236}">
              <a16:creationId xmlns:a16="http://schemas.microsoft.com/office/drawing/2014/main" id="{00000000-0008-0000-0000-0000FB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60" name="Line 196">
          <a:extLst>
            <a:ext uri="{FF2B5EF4-FFF2-40B4-BE49-F238E27FC236}">
              <a16:creationId xmlns:a16="http://schemas.microsoft.com/office/drawing/2014/main" id="{00000000-0008-0000-0000-0000FC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61" name="Line 197">
          <a:extLst>
            <a:ext uri="{FF2B5EF4-FFF2-40B4-BE49-F238E27FC236}">
              <a16:creationId xmlns:a16="http://schemas.microsoft.com/office/drawing/2014/main" id="{00000000-0008-0000-0000-0000FD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62" name="Line 198">
          <a:extLst>
            <a:ext uri="{FF2B5EF4-FFF2-40B4-BE49-F238E27FC236}">
              <a16:creationId xmlns:a16="http://schemas.microsoft.com/office/drawing/2014/main" id="{00000000-0008-0000-0000-0000FE41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63" name="Line 199">
          <a:extLst>
            <a:ext uri="{FF2B5EF4-FFF2-40B4-BE49-F238E27FC236}">
              <a16:creationId xmlns:a16="http://schemas.microsoft.com/office/drawing/2014/main" id="{00000000-0008-0000-0000-0000FF41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64" name="Line 200">
          <a:extLst>
            <a:ext uri="{FF2B5EF4-FFF2-40B4-BE49-F238E27FC236}">
              <a16:creationId xmlns:a16="http://schemas.microsoft.com/office/drawing/2014/main" id="{00000000-0008-0000-0000-00000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65" name="Line 201">
          <a:extLst>
            <a:ext uri="{FF2B5EF4-FFF2-40B4-BE49-F238E27FC236}">
              <a16:creationId xmlns:a16="http://schemas.microsoft.com/office/drawing/2014/main" id="{00000000-0008-0000-0000-00000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66" name="Line 202">
          <a:extLst>
            <a:ext uri="{FF2B5EF4-FFF2-40B4-BE49-F238E27FC236}">
              <a16:creationId xmlns:a16="http://schemas.microsoft.com/office/drawing/2014/main" id="{00000000-0008-0000-0000-00000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67" name="Line 203">
          <a:extLst>
            <a:ext uri="{FF2B5EF4-FFF2-40B4-BE49-F238E27FC236}">
              <a16:creationId xmlns:a16="http://schemas.microsoft.com/office/drawing/2014/main" id="{00000000-0008-0000-0000-00000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68" name="Line 204">
          <a:extLst>
            <a:ext uri="{FF2B5EF4-FFF2-40B4-BE49-F238E27FC236}">
              <a16:creationId xmlns:a16="http://schemas.microsoft.com/office/drawing/2014/main" id="{00000000-0008-0000-0000-00000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69" name="Line 205">
          <a:extLst>
            <a:ext uri="{FF2B5EF4-FFF2-40B4-BE49-F238E27FC236}">
              <a16:creationId xmlns:a16="http://schemas.microsoft.com/office/drawing/2014/main" id="{00000000-0008-0000-0000-00000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70" name="Line 206">
          <a:extLst>
            <a:ext uri="{FF2B5EF4-FFF2-40B4-BE49-F238E27FC236}">
              <a16:creationId xmlns:a16="http://schemas.microsoft.com/office/drawing/2014/main" id="{00000000-0008-0000-0000-00000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71" name="Line 207">
          <a:extLst>
            <a:ext uri="{FF2B5EF4-FFF2-40B4-BE49-F238E27FC236}">
              <a16:creationId xmlns:a16="http://schemas.microsoft.com/office/drawing/2014/main" id="{00000000-0008-0000-0000-00000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72" name="Line 208">
          <a:extLst>
            <a:ext uri="{FF2B5EF4-FFF2-40B4-BE49-F238E27FC236}">
              <a16:creationId xmlns:a16="http://schemas.microsoft.com/office/drawing/2014/main" id="{00000000-0008-0000-0000-00000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73" name="Line 209">
          <a:extLst>
            <a:ext uri="{FF2B5EF4-FFF2-40B4-BE49-F238E27FC236}">
              <a16:creationId xmlns:a16="http://schemas.microsoft.com/office/drawing/2014/main" id="{00000000-0008-0000-0000-00000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74" name="Line 210">
          <a:extLst>
            <a:ext uri="{FF2B5EF4-FFF2-40B4-BE49-F238E27FC236}">
              <a16:creationId xmlns:a16="http://schemas.microsoft.com/office/drawing/2014/main" id="{00000000-0008-0000-0000-00000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75" name="Line 211">
          <a:extLst>
            <a:ext uri="{FF2B5EF4-FFF2-40B4-BE49-F238E27FC236}">
              <a16:creationId xmlns:a16="http://schemas.microsoft.com/office/drawing/2014/main" id="{00000000-0008-0000-0000-00000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76" name="Line 212">
          <a:extLst>
            <a:ext uri="{FF2B5EF4-FFF2-40B4-BE49-F238E27FC236}">
              <a16:creationId xmlns:a16="http://schemas.microsoft.com/office/drawing/2014/main" id="{00000000-0008-0000-0000-00000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77" name="Line 213">
          <a:extLst>
            <a:ext uri="{FF2B5EF4-FFF2-40B4-BE49-F238E27FC236}">
              <a16:creationId xmlns:a16="http://schemas.microsoft.com/office/drawing/2014/main" id="{00000000-0008-0000-0000-00000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78" name="Line 214">
          <a:extLst>
            <a:ext uri="{FF2B5EF4-FFF2-40B4-BE49-F238E27FC236}">
              <a16:creationId xmlns:a16="http://schemas.microsoft.com/office/drawing/2014/main" id="{00000000-0008-0000-0000-00000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79" name="Line 215">
          <a:extLst>
            <a:ext uri="{FF2B5EF4-FFF2-40B4-BE49-F238E27FC236}">
              <a16:creationId xmlns:a16="http://schemas.microsoft.com/office/drawing/2014/main" id="{00000000-0008-0000-0000-00000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80" name="Line 216">
          <a:extLst>
            <a:ext uri="{FF2B5EF4-FFF2-40B4-BE49-F238E27FC236}">
              <a16:creationId xmlns:a16="http://schemas.microsoft.com/office/drawing/2014/main" id="{00000000-0008-0000-0000-00001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81" name="Line 217">
          <a:extLst>
            <a:ext uri="{FF2B5EF4-FFF2-40B4-BE49-F238E27FC236}">
              <a16:creationId xmlns:a16="http://schemas.microsoft.com/office/drawing/2014/main" id="{00000000-0008-0000-0000-00001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82" name="Line 218">
          <a:extLst>
            <a:ext uri="{FF2B5EF4-FFF2-40B4-BE49-F238E27FC236}">
              <a16:creationId xmlns:a16="http://schemas.microsoft.com/office/drawing/2014/main" id="{00000000-0008-0000-0000-00001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83" name="Line 219">
          <a:extLst>
            <a:ext uri="{FF2B5EF4-FFF2-40B4-BE49-F238E27FC236}">
              <a16:creationId xmlns:a16="http://schemas.microsoft.com/office/drawing/2014/main" id="{00000000-0008-0000-0000-00001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84" name="Line 220">
          <a:extLst>
            <a:ext uri="{FF2B5EF4-FFF2-40B4-BE49-F238E27FC236}">
              <a16:creationId xmlns:a16="http://schemas.microsoft.com/office/drawing/2014/main" id="{00000000-0008-0000-0000-00001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85" name="Line 221">
          <a:extLst>
            <a:ext uri="{FF2B5EF4-FFF2-40B4-BE49-F238E27FC236}">
              <a16:creationId xmlns:a16="http://schemas.microsoft.com/office/drawing/2014/main" id="{00000000-0008-0000-0000-00001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86" name="Line 222">
          <a:extLst>
            <a:ext uri="{FF2B5EF4-FFF2-40B4-BE49-F238E27FC236}">
              <a16:creationId xmlns:a16="http://schemas.microsoft.com/office/drawing/2014/main" id="{00000000-0008-0000-0000-00001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87" name="Line 223">
          <a:extLst>
            <a:ext uri="{FF2B5EF4-FFF2-40B4-BE49-F238E27FC236}">
              <a16:creationId xmlns:a16="http://schemas.microsoft.com/office/drawing/2014/main" id="{00000000-0008-0000-0000-00001742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88" name="Line 224">
          <a:extLst>
            <a:ext uri="{FF2B5EF4-FFF2-40B4-BE49-F238E27FC236}">
              <a16:creationId xmlns:a16="http://schemas.microsoft.com/office/drawing/2014/main" id="{00000000-0008-0000-0000-00001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89" name="Line 225">
          <a:extLst>
            <a:ext uri="{FF2B5EF4-FFF2-40B4-BE49-F238E27FC236}">
              <a16:creationId xmlns:a16="http://schemas.microsoft.com/office/drawing/2014/main" id="{00000000-0008-0000-0000-00001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90" name="Line 226">
          <a:extLst>
            <a:ext uri="{FF2B5EF4-FFF2-40B4-BE49-F238E27FC236}">
              <a16:creationId xmlns:a16="http://schemas.microsoft.com/office/drawing/2014/main" id="{00000000-0008-0000-0000-00001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91" name="Line 227">
          <a:extLst>
            <a:ext uri="{FF2B5EF4-FFF2-40B4-BE49-F238E27FC236}">
              <a16:creationId xmlns:a16="http://schemas.microsoft.com/office/drawing/2014/main" id="{00000000-0008-0000-0000-00001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92" name="Line 228">
          <a:extLst>
            <a:ext uri="{FF2B5EF4-FFF2-40B4-BE49-F238E27FC236}">
              <a16:creationId xmlns:a16="http://schemas.microsoft.com/office/drawing/2014/main" id="{00000000-0008-0000-0000-00001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93" name="Line 229">
          <a:extLst>
            <a:ext uri="{FF2B5EF4-FFF2-40B4-BE49-F238E27FC236}">
              <a16:creationId xmlns:a16="http://schemas.microsoft.com/office/drawing/2014/main" id="{00000000-0008-0000-0000-00001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94" name="Line 230">
          <a:extLst>
            <a:ext uri="{FF2B5EF4-FFF2-40B4-BE49-F238E27FC236}">
              <a16:creationId xmlns:a16="http://schemas.microsoft.com/office/drawing/2014/main" id="{00000000-0008-0000-0000-00001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95" name="Line 231">
          <a:extLst>
            <a:ext uri="{FF2B5EF4-FFF2-40B4-BE49-F238E27FC236}">
              <a16:creationId xmlns:a16="http://schemas.microsoft.com/office/drawing/2014/main" id="{00000000-0008-0000-0000-00001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96" name="Line 232">
          <a:extLst>
            <a:ext uri="{FF2B5EF4-FFF2-40B4-BE49-F238E27FC236}">
              <a16:creationId xmlns:a16="http://schemas.microsoft.com/office/drawing/2014/main" id="{00000000-0008-0000-0000-00002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97" name="Line 233">
          <a:extLst>
            <a:ext uri="{FF2B5EF4-FFF2-40B4-BE49-F238E27FC236}">
              <a16:creationId xmlns:a16="http://schemas.microsoft.com/office/drawing/2014/main" id="{00000000-0008-0000-0000-00002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298" name="Line 234">
          <a:extLst>
            <a:ext uri="{FF2B5EF4-FFF2-40B4-BE49-F238E27FC236}">
              <a16:creationId xmlns:a16="http://schemas.microsoft.com/office/drawing/2014/main" id="{00000000-0008-0000-0000-00002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299" name="Line 235">
          <a:extLst>
            <a:ext uri="{FF2B5EF4-FFF2-40B4-BE49-F238E27FC236}">
              <a16:creationId xmlns:a16="http://schemas.microsoft.com/office/drawing/2014/main" id="{00000000-0008-0000-0000-00002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00" name="Line 236">
          <a:extLst>
            <a:ext uri="{FF2B5EF4-FFF2-40B4-BE49-F238E27FC236}">
              <a16:creationId xmlns:a16="http://schemas.microsoft.com/office/drawing/2014/main" id="{00000000-0008-0000-0000-00002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01" name="Line 237">
          <a:extLst>
            <a:ext uri="{FF2B5EF4-FFF2-40B4-BE49-F238E27FC236}">
              <a16:creationId xmlns:a16="http://schemas.microsoft.com/office/drawing/2014/main" id="{00000000-0008-0000-0000-00002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02" name="Line 238">
          <a:extLst>
            <a:ext uri="{FF2B5EF4-FFF2-40B4-BE49-F238E27FC236}">
              <a16:creationId xmlns:a16="http://schemas.microsoft.com/office/drawing/2014/main" id="{00000000-0008-0000-0000-00002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03" name="Line 239">
          <a:extLst>
            <a:ext uri="{FF2B5EF4-FFF2-40B4-BE49-F238E27FC236}">
              <a16:creationId xmlns:a16="http://schemas.microsoft.com/office/drawing/2014/main" id="{00000000-0008-0000-0000-00002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04" name="Line 240">
          <a:extLst>
            <a:ext uri="{FF2B5EF4-FFF2-40B4-BE49-F238E27FC236}">
              <a16:creationId xmlns:a16="http://schemas.microsoft.com/office/drawing/2014/main" id="{00000000-0008-0000-0000-00002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05" name="Line 241">
          <a:extLst>
            <a:ext uri="{FF2B5EF4-FFF2-40B4-BE49-F238E27FC236}">
              <a16:creationId xmlns:a16="http://schemas.microsoft.com/office/drawing/2014/main" id="{00000000-0008-0000-0000-00002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06" name="Line 242">
          <a:extLst>
            <a:ext uri="{FF2B5EF4-FFF2-40B4-BE49-F238E27FC236}">
              <a16:creationId xmlns:a16="http://schemas.microsoft.com/office/drawing/2014/main" id="{00000000-0008-0000-0000-00002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07" name="Line 243">
          <a:extLst>
            <a:ext uri="{FF2B5EF4-FFF2-40B4-BE49-F238E27FC236}">
              <a16:creationId xmlns:a16="http://schemas.microsoft.com/office/drawing/2014/main" id="{00000000-0008-0000-0000-00002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08" name="Line 244">
          <a:extLst>
            <a:ext uri="{FF2B5EF4-FFF2-40B4-BE49-F238E27FC236}">
              <a16:creationId xmlns:a16="http://schemas.microsoft.com/office/drawing/2014/main" id="{00000000-0008-0000-0000-00002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09" name="Line 245">
          <a:extLst>
            <a:ext uri="{FF2B5EF4-FFF2-40B4-BE49-F238E27FC236}">
              <a16:creationId xmlns:a16="http://schemas.microsoft.com/office/drawing/2014/main" id="{00000000-0008-0000-0000-00002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10" name="Line 246">
          <a:extLst>
            <a:ext uri="{FF2B5EF4-FFF2-40B4-BE49-F238E27FC236}">
              <a16:creationId xmlns:a16="http://schemas.microsoft.com/office/drawing/2014/main" id="{00000000-0008-0000-0000-00002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11" name="Line 247">
          <a:extLst>
            <a:ext uri="{FF2B5EF4-FFF2-40B4-BE49-F238E27FC236}">
              <a16:creationId xmlns:a16="http://schemas.microsoft.com/office/drawing/2014/main" id="{00000000-0008-0000-0000-00002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12" name="Line 248">
          <a:extLst>
            <a:ext uri="{FF2B5EF4-FFF2-40B4-BE49-F238E27FC236}">
              <a16:creationId xmlns:a16="http://schemas.microsoft.com/office/drawing/2014/main" id="{00000000-0008-0000-0000-00003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13" name="Line 249">
          <a:extLst>
            <a:ext uri="{FF2B5EF4-FFF2-40B4-BE49-F238E27FC236}">
              <a16:creationId xmlns:a16="http://schemas.microsoft.com/office/drawing/2014/main" id="{00000000-0008-0000-0000-00003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14" name="Line 250">
          <a:extLst>
            <a:ext uri="{FF2B5EF4-FFF2-40B4-BE49-F238E27FC236}">
              <a16:creationId xmlns:a16="http://schemas.microsoft.com/office/drawing/2014/main" id="{00000000-0008-0000-0000-00003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15" name="Line 251">
          <a:extLst>
            <a:ext uri="{FF2B5EF4-FFF2-40B4-BE49-F238E27FC236}">
              <a16:creationId xmlns:a16="http://schemas.microsoft.com/office/drawing/2014/main" id="{00000000-0008-0000-0000-00003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16" name="Line 252">
          <a:extLst>
            <a:ext uri="{FF2B5EF4-FFF2-40B4-BE49-F238E27FC236}">
              <a16:creationId xmlns:a16="http://schemas.microsoft.com/office/drawing/2014/main" id="{00000000-0008-0000-0000-00003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17" name="Line 253">
          <a:extLst>
            <a:ext uri="{FF2B5EF4-FFF2-40B4-BE49-F238E27FC236}">
              <a16:creationId xmlns:a16="http://schemas.microsoft.com/office/drawing/2014/main" id="{00000000-0008-0000-0000-00003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18" name="Line 254">
          <a:extLst>
            <a:ext uri="{FF2B5EF4-FFF2-40B4-BE49-F238E27FC236}">
              <a16:creationId xmlns:a16="http://schemas.microsoft.com/office/drawing/2014/main" id="{00000000-0008-0000-0000-00003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19" name="Line 255">
          <a:extLst>
            <a:ext uri="{FF2B5EF4-FFF2-40B4-BE49-F238E27FC236}">
              <a16:creationId xmlns:a16="http://schemas.microsoft.com/office/drawing/2014/main" id="{00000000-0008-0000-0000-00003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20" name="Line 256">
          <a:extLst>
            <a:ext uri="{FF2B5EF4-FFF2-40B4-BE49-F238E27FC236}">
              <a16:creationId xmlns:a16="http://schemas.microsoft.com/office/drawing/2014/main" id="{00000000-0008-0000-0000-00003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21" name="Line 257">
          <a:extLst>
            <a:ext uri="{FF2B5EF4-FFF2-40B4-BE49-F238E27FC236}">
              <a16:creationId xmlns:a16="http://schemas.microsoft.com/office/drawing/2014/main" id="{00000000-0008-0000-0000-00003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22" name="Line 258">
          <a:extLst>
            <a:ext uri="{FF2B5EF4-FFF2-40B4-BE49-F238E27FC236}">
              <a16:creationId xmlns:a16="http://schemas.microsoft.com/office/drawing/2014/main" id="{00000000-0008-0000-0000-00003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23" name="Line 259">
          <a:extLst>
            <a:ext uri="{FF2B5EF4-FFF2-40B4-BE49-F238E27FC236}">
              <a16:creationId xmlns:a16="http://schemas.microsoft.com/office/drawing/2014/main" id="{00000000-0008-0000-0000-00003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24" name="Line 260">
          <a:extLst>
            <a:ext uri="{FF2B5EF4-FFF2-40B4-BE49-F238E27FC236}">
              <a16:creationId xmlns:a16="http://schemas.microsoft.com/office/drawing/2014/main" id="{00000000-0008-0000-0000-00003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25" name="Line 261">
          <a:extLst>
            <a:ext uri="{FF2B5EF4-FFF2-40B4-BE49-F238E27FC236}">
              <a16:creationId xmlns:a16="http://schemas.microsoft.com/office/drawing/2014/main" id="{00000000-0008-0000-0000-00003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26" name="Line 262">
          <a:extLst>
            <a:ext uri="{FF2B5EF4-FFF2-40B4-BE49-F238E27FC236}">
              <a16:creationId xmlns:a16="http://schemas.microsoft.com/office/drawing/2014/main" id="{00000000-0008-0000-0000-00003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27" name="Line 263">
          <a:extLst>
            <a:ext uri="{FF2B5EF4-FFF2-40B4-BE49-F238E27FC236}">
              <a16:creationId xmlns:a16="http://schemas.microsoft.com/office/drawing/2014/main" id="{00000000-0008-0000-0000-00003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28" name="Line 264">
          <a:extLst>
            <a:ext uri="{FF2B5EF4-FFF2-40B4-BE49-F238E27FC236}">
              <a16:creationId xmlns:a16="http://schemas.microsoft.com/office/drawing/2014/main" id="{00000000-0008-0000-0000-00004042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29" name="Line 265">
          <a:extLst>
            <a:ext uri="{FF2B5EF4-FFF2-40B4-BE49-F238E27FC236}">
              <a16:creationId xmlns:a16="http://schemas.microsoft.com/office/drawing/2014/main" id="{00000000-0008-0000-0000-00004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30" name="Line 266">
          <a:extLst>
            <a:ext uri="{FF2B5EF4-FFF2-40B4-BE49-F238E27FC236}">
              <a16:creationId xmlns:a16="http://schemas.microsoft.com/office/drawing/2014/main" id="{00000000-0008-0000-0000-00004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31" name="Line 267">
          <a:extLst>
            <a:ext uri="{FF2B5EF4-FFF2-40B4-BE49-F238E27FC236}">
              <a16:creationId xmlns:a16="http://schemas.microsoft.com/office/drawing/2014/main" id="{00000000-0008-0000-0000-00004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32" name="Line 268">
          <a:extLst>
            <a:ext uri="{FF2B5EF4-FFF2-40B4-BE49-F238E27FC236}">
              <a16:creationId xmlns:a16="http://schemas.microsoft.com/office/drawing/2014/main" id="{00000000-0008-0000-0000-00004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33" name="Line 269">
          <a:extLst>
            <a:ext uri="{FF2B5EF4-FFF2-40B4-BE49-F238E27FC236}">
              <a16:creationId xmlns:a16="http://schemas.microsoft.com/office/drawing/2014/main" id="{00000000-0008-0000-0000-00004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34" name="Line 270">
          <a:extLst>
            <a:ext uri="{FF2B5EF4-FFF2-40B4-BE49-F238E27FC236}">
              <a16:creationId xmlns:a16="http://schemas.microsoft.com/office/drawing/2014/main" id="{00000000-0008-0000-0000-00004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35" name="Line 271">
          <a:extLst>
            <a:ext uri="{FF2B5EF4-FFF2-40B4-BE49-F238E27FC236}">
              <a16:creationId xmlns:a16="http://schemas.microsoft.com/office/drawing/2014/main" id="{00000000-0008-0000-0000-00004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36" name="Line 272">
          <a:extLst>
            <a:ext uri="{FF2B5EF4-FFF2-40B4-BE49-F238E27FC236}">
              <a16:creationId xmlns:a16="http://schemas.microsoft.com/office/drawing/2014/main" id="{00000000-0008-0000-0000-00004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37" name="Line 273">
          <a:extLst>
            <a:ext uri="{FF2B5EF4-FFF2-40B4-BE49-F238E27FC236}">
              <a16:creationId xmlns:a16="http://schemas.microsoft.com/office/drawing/2014/main" id="{00000000-0008-0000-0000-00004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38" name="Line 274">
          <a:extLst>
            <a:ext uri="{FF2B5EF4-FFF2-40B4-BE49-F238E27FC236}">
              <a16:creationId xmlns:a16="http://schemas.microsoft.com/office/drawing/2014/main" id="{00000000-0008-0000-0000-00004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39" name="Line 275">
          <a:extLst>
            <a:ext uri="{FF2B5EF4-FFF2-40B4-BE49-F238E27FC236}">
              <a16:creationId xmlns:a16="http://schemas.microsoft.com/office/drawing/2014/main" id="{00000000-0008-0000-0000-00004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40" name="Line 276">
          <a:extLst>
            <a:ext uri="{FF2B5EF4-FFF2-40B4-BE49-F238E27FC236}">
              <a16:creationId xmlns:a16="http://schemas.microsoft.com/office/drawing/2014/main" id="{00000000-0008-0000-0000-00004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41" name="Line 277">
          <a:extLst>
            <a:ext uri="{FF2B5EF4-FFF2-40B4-BE49-F238E27FC236}">
              <a16:creationId xmlns:a16="http://schemas.microsoft.com/office/drawing/2014/main" id="{00000000-0008-0000-0000-00004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42" name="Line 278">
          <a:extLst>
            <a:ext uri="{FF2B5EF4-FFF2-40B4-BE49-F238E27FC236}">
              <a16:creationId xmlns:a16="http://schemas.microsoft.com/office/drawing/2014/main" id="{00000000-0008-0000-0000-00004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43" name="Line 279">
          <a:extLst>
            <a:ext uri="{FF2B5EF4-FFF2-40B4-BE49-F238E27FC236}">
              <a16:creationId xmlns:a16="http://schemas.microsoft.com/office/drawing/2014/main" id="{00000000-0008-0000-0000-00004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44" name="Line 280">
          <a:extLst>
            <a:ext uri="{FF2B5EF4-FFF2-40B4-BE49-F238E27FC236}">
              <a16:creationId xmlns:a16="http://schemas.microsoft.com/office/drawing/2014/main" id="{00000000-0008-0000-0000-00005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45" name="Line 281">
          <a:extLst>
            <a:ext uri="{FF2B5EF4-FFF2-40B4-BE49-F238E27FC236}">
              <a16:creationId xmlns:a16="http://schemas.microsoft.com/office/drawing/2014/main" id="{00000000-0008-0000-0000-00005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46" name="Line 282">
          <a:extLst>
            <a:ext uri="{FF2B5EF4-FFF2-40B4-BE49-F238E27FC236}">
              <a16:creationId xmlns:a16="http://schemas.microsoft.com/office/drawing/2014/main" id="{00000000-0008-0000-0000-00005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47" name="Line 283">
          <a:extLst>
            <a:ext uri="{FF2B5EF4-FFF2-40B4-BE49-F238E27FC236}">
              <a16:creationId xmlns:a16="http://schemas.microsoft.com/office/drawing/2014/main" id="{00000000-0008-0000-0000-00005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48" name="Line 284">
          <a:extLst>
            <a:ext uri="{FF2B5EF4-FFF2-40B4-BE49-F238E27FC236}">
              <a16:creationId xmlns:a16="http://schemas.microsoft.com/office/drawing/2014/main" id="{00000000-0008-0000-0000-00005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49" name="Line 285">
          <a:extLst>
            <a:ext uri="{FF2B5EF4-FFF2-40B4-BE49-F238E27FC236}">
              <a16:creationId xmlns:a16="http://schemas.microsoft.com/office/drawing/2014/main" id="{00000000-0008-0000-0000-00005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50" name="Line 286">
          <a:extLst>
            <a:ext uri="{FF2B5EF4-FFF2-40B4-BE49-F238E27FC236}">
              <a16:creationId xmlns:a16="http://schemas.microsoft.com/office/drawing/2014/main" id="{00000000-0008-0000-0000-00005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51" name="Line 287">
          <a:extLst>
            <a:ext uri="{FF2B5EF4-FFF2-40B4-BE49-F238E27FC236}">
              <a16:creationId xmlns:a16="http://schemas.microsoft.com/office/drawing/2014/main" id="{00000000-0008-0000-0000-00005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52" name="Line 288">
          <a:extLst>
            <a:ext uri="{FF2B5EF4-FFF2-40B4-BE49-F238E27FC236}">
              <a16:creationId xmlns:a16="http://schemas.microsoft.com/office/drawing/2014/main" id="{00000000-0008-0000-0000-00005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53" name="Line 289">
          <a:extLst>
            <a:ext uri="{FF2B5EF4-FFF2-40B4-BE49-F238E27FC236}">
              <a16:creationId xmlns:a16="http://schemas.microsoft.com/office/drawing/2014/main" id="{00000000-0008-0000-0000-00005942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54" name="Line 290">
          <a:extLst>
            <a:ext uri="{FF2B5EF4-FFF2-40B4-BE49-F238E27FC236}">
              <a16:creationId xmlns:a16="http://schemas.microsoft.com/office/drawing/2014/main" id="{00000000-0008-0000-0000-00005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55" name="Line 291">
          <a:extLst>
            <a:ext uri="{FF2B5EF4-FFF2-40B4-BE49-F238E27FC236}">
              <a16:creationId xmlns:a16="http://schemas.microsoft.com/office/drawing/2014/main" id="{00000000-0008-0000-0000-00005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56" name="Line 292">
          <a:extLst>
            <a:ext uri="{FF2B5EF4-FFF2-40B4-BE49-F238E27FC236}">
              <a16:creationId xmlns:a16="http://schemas.microsoft.com/office/drawing/2014/main" id="{00000000-0008-0000-0000-00005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57" name="Line 293">
          <a:extLst>
            <a:ext uri="{FF2B5EF4-FFF2-40B4-BE49-F238E27FC236}">
              <a16:creationId xmlns:a16="http://schemas.microsoft.com/office/drawing/2014/main" id="{00000000-0008-0000-0000-00005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58" name="Line 294">
          <a:extLst>
            <a:ext uri="{FF2B5EF4-FFF2-40B4-BE49-F238E27FC236}">
              <a16:creationId xmlns:a16="http://schemas.microsoft.com/office/drawing/2014/main" id="{00000000-0008-0000-0000-00005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59" name="Line 295">
          <a:extLst>
            <a:ext uri="{FF2B5EF4-FFF2-40B4-BE49-F238E27FC236}">
              <a16:creationId xmlns:a16="http://schemas.microsoft.com/office/drawing/2014/main" id="{00000000-0008-0000-0000-00005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60" name="Line 296">
          <a:extLst>
            <a:ext uri="{FF2B5EF4-FFF2-40B4-BE49-F238E27FC236}">
              <a16:creationId xmlns:a16="http://schemas.microsoft.com/office/drawing/2014/main" id="{00000000-0008-0000-0000-00006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61" name="Line 297">
          <a:extLst>
            <a:ext uri="{FF2B5EF4-FFF2-40B4-BE49-F238E27FC236}">
              <a16:creationId xmlns:a16="http://schemas.microsoft.com/office/drawing/2014/main" id="{00000000-0008-0000-0000-00006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62" name="Line 298">
          <a:extLst>
            <a:ext uri="{FF2B5EF4-FFF2-40B4-BE49-F238E27FC236}">
              <a16:creationId xmlns:a16="http://schemas.microsoft.com/office/drawing/2014/main" id="{00000000-0008-0000-0000-00006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63" name="Line 299">
          <a:extLst>
            <a:ext uri="{FF2B5EF4-FFF2-40B4-BE49-F238E27FC236}">
              <a16:creationId xmlns:a16="http://schemas.microsoft.com/office/drawing/2014/main" id="{00000000-0008-0000-0000-00006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64" name="Line 300">
          <a:extLst>
            <a:ext uri="{FF2B5EF4-FFF2-40B4-BE49-F238E27FC236}">
              <a16:creationId xmlns:a16="http://schemas.microsoft.com/office/drawing/2014/main" id="{00000000-0008-0000-0000-00006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65" name="Line 301">
          <a:extLst>
            <a:ext uri="{FF2B5EF4-FFF2-40B4-BE49-F238E27FC236}">
              <a16:creationId xmlns:a16="http://schemas.microsoft.com/office/drawing/2014/main" id="{00000000-0008-0000-0000-00006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66" name="Line 302">
          <a:extLst>
            <a:ext uri="{FF2B5EF4-FFF2-40B4-BE49-F238E27FC236}">
              <a16:creationId xmlns:a16="http://schemas.microsoft.com/office/drawing/2014/main" id="{00000000-0008-0000-0000-00006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67" name="Line 303">
          <a:extLst>
            <a:ext uri="{FF2B5EF4-FFF2-40B4-BE49-F238E27FC236}">
              <a16:creationId xmlns:a16="http://schemas.microsoft.com/office/drawing/2014/main" id="{00000000-0008-0000-0000-00006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68" name="Line 304">
          <a:extLst>
            <a:ext uri="{FF2B5EF4-FFF2-40B4-BE49-F238E27FC236}">
              <a16:creationId xmlns:a16="http://schemas.microsoft.com/office/drawing/2014/main" id="{00000000-0008-0000-0000-00006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69" name="Line 305">
          <a:extLst>
            <a:ext uri="{FF2B5EF4-FFF2-40B4-BE49-F238E27FC236}">
              <a16:creationId xmlns:a16="http://schemas.microsoft.com/office/drawing/2014/main" id="{00000000-0008-0000-0000-00006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70" name="Line 306">
          <a:extLst>
            <a:ext uri="{FF2B5EF4-FFF2-40B4-BE49-F238E27FC236}">
              <a16:creationId xmlns:a16="http://schemas.microsoft.com/office/drawing/2014/main" id="{00000000-0008-0000-0000-00006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71" name="Line 307">
          <a:extLst>
            <a:ext uri="{FF2B5EF4-FFF2-40B4-BE49-F238E27FC236}">
              <a16:creationId xmlns:a16="http://schemas.microsoft.com/office/drawing/2014/main" id="{00000000-0008-0000-0000-00006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72" name="Line 308">
          <a:extLst>
            <a:ext uri="{FF2B5EF4-FFF2-40B4-BE49-F238E27FC236}">
              <a16:creationId xmlns:a16="http://schemas.microsoft.com/office/drawing/2014/main" id="{00000000-0008-0000-0000-00006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73" name="Line 309">
          <a:extLst>
            <a:ext uri="{FF2B5EF4-FFF2-40B4-BE49-F238E27FC236}">
              <a16:creationId xmlns:a16="http://schemas.microsoft.com/office/drawing/2014/main" id="{00000000-0008-0000-0000-00006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74" name="Line 310">
          <a:extLst>
            <a:ext uri="{FF2B5EF4-FFF2-40B4-BE49-F238E27FC236}">
              <a16:creationId xmlns:a16="http://schemas.microsoft.com/office/drawing/2014/main" id="{00000000-0008-0000-0000-00006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75" name="Line 311">
          <a:extLst>
            <a:ext uri="{FF2B5EF4-FFF2-40B4-BE49-F238E27FC236}">
              <a16:creationId xmlns:a16="http://schemas.microsoft.com/office/drawing/2014/main" id="{00000000-0008-0000-0000-00006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76" name="Line 312">
          <a:extLst>
            <a:ext uri="{FF2B5EF4-FFF2-40B4-BE49-F238E27FC236}">
              <a16:creationId xmlns:a16="http://schemas.microsoft.com/office/drawing/2014/main" id="{00000000-0008-0000-0000-00007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77" name="Line 313">
          <a:extLst>
            <a:ext uri="{FF2B5EF4-FFF2-40B4-BE49-F238E27FC236}">
              <a16:creationId xmlns:a16="http://schemas.microsoft.com/office/drawing/2014/main" id="{00000000-0008-0000-0000-00007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78" name="Line 314">
          <a:extLst>
            <a:ext uri="{FF2B5EF4-FFF2-40B4-BE49-F238E27FC236}">
              <a16:creationId xmlns:a16="http://schemas.microsoft.com/office/drawing/2014/main" id="{00000000-0008-0000-0000-00007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79" name="Line 315">
          <a:extLst>
            <a:ext uri="{FF2B5EF4-FFF2-40B4-BE49-F238E27FC236}">
              <a16:creationId xmlns:a16="http://schemas.microsoft.com/office/drawing/2014/main" id="{00000000-0008-0000-0000-00007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80" name="Line 316">
          <a:extLst>
            <a:ext uri="{FF2B5EF4-FFF2-40B4-BE49-F238E27FC236}">
              <a16:creationId xmlns:a16="http://schemas.microsoft.com/office/drawing/2014/main" id="{00000000-0008-0000-0000-00007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81" name="Line 317">
          <a:extLst>
            <a:ext uri="{FF2B5EF4-FFF2-40B4-BE49-F238E27FC236}">
              <a16:creationId xmlns:a16="http://schemas.microsoft.com/office/drawing/2014/main" id="{00000000-0008-0000-0000-00007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82" name="Line 318">
          <a:extLst>
            <a:ext uri="{FF2B5EF4-FFF2-40B4-BE49-F238E27FC236}">
              <a16:creationId xmlns:a16="http://schemas.microsoft.com/office/drawing/2014/main" id="{00000000-0008-0000-0000-00007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83" name="Line 319">
          <a:extLst>
            <a:ext uri="{FF2B5EF4-FFF2-40B4-BE49-F238E27FC236}">
              <a16:creationId xmlns:a16="http://schemas.microsoft.com/office/drawing/2014/main" id="{00000000-0008-0000-0000-00007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84" name="Line 320">
          <a:extLst>
            <a:ext uri="{FF2B5EF4-FFF2-40B4-BE49-F238E27FC236}">
              <a16:creationId xmlns:a16="http://schemas.microsoft.com/office/drawing/2014/main" id="{00000000-0008-0000-0000-00007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85" name="Line 321">
          <a:extLst>
            <a:ext uri="{FF2B5EF4-FFF2-40B4-BE49-F238E27FC236}">
              <a16:creationId xmlns:a16="http://schemas.microsoft.com/office/drawing/2014/main" id="{00000000-0008-0000-0000-00007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86" name="Line 322">
          <a:extLst>
            <a:ext uri="{FF2B5EF4-FFF2-40B4-BE49-F238E27FC236}">
              <a16:creationId xmlns:a16="http://schemas.microsoft.com/office/drawing/2014/main" id="{00000000-0008-0000-0000-00007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87" name="Line 323">
          <a:extLst>
            <a:ext uri="{FF2B5EF4-FFF2-40B4-BE49-F238E27FC236}">
              <a16:creationId xmlns:a16="http://schemas.microsoft.com/office/drawing/2014/main" id="{00000000-0008-0000-0000-00007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88" name="Line 324">
          <a:extLst>
            <a:ext uri="{FF2B5EF4-FFF2-40B4-BE49-F238E27FC236}">
              <a16:creationId xmlns:a16="http://schemas.microsoft.com/office/drawing/2014/main" id="{00000000-0008-0000-0000-00007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89" name="Line 325">
          <a:extLst>
            <a:ext uri="{FF2B5EF4-FFF2-40B4-BE49-F238E27FC236}">
              <a16:creationId xmlns:a16="http://schemas.microsoft.com/office/drawing/2014/main" id="{00000000-0008-0000-0000-00007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90" name="Line 326">
          <a:extLst>
            <a:ext uri="{FF2B5EF4-FFF2-40B4-BE49-F238E27FC236}">
              <a16:creationId xmlns:a16="http://schemas.microsoft.com/office/drawing/2014/main" id="{00000000-0008-0000-0000-00007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91" name="Line 327">
          <a:extLst>
            <a:ext uri="{FF2B5EF4-FFF2-40B4-BE49-F238E27FC236}">
              <a16:creationId xmlns:a16="http://schemas.microsoft.com/office/drawing/2014/main" id="{00000000-0008-0000-0000-00007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92" name="Line 328">
          <a:extLst>
            <a:ext uri="{FF2B5EF4-FFF2-40B4-BE49-F238E27FC236}">
              <a16:creationId xmlns:a16="http://schemas.microsoft.com/office/drawing/2014/main" id="{00000000-0008-0000-0000-00008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93" name="Line 329">
          <a:extLst>
            <a:ext uri="{FF2B5EF4-FFF2-40B4-BE49-F238E27FC236}">
              <a16:creationId xmlns:a16="http://schemas.microsoft.com/office/drawing/2014/main" id="{00000000-0008-0000-0000-00008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94" name="Line 330">
          <a:extLst>
            <a:ext uri="{FF2B5EF4-FFF2-40B4-BE49-F238E27FC236}">
              <a16:creationId xmlns:a16="http://schemas.microsoft.com/office/drawing/2014/main" id="{00000000-0008-0000-0000-00008242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95" name="Line 331">
          <a:extLst>
            <a:ext uri="{FF2B5EF4-FFF2-40B4-BE49-F238E27FC236}">
              <a16:creationId xmlns:a16="http://schemas.microsoft.com/office/drawing/2014/main" id="{00000000-0008-0000-0000-00008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96" name="Line 332">
          <a:extLst>
            <a:ext uri="{FF2B5EF4-FFF2-40B4-BE49-F238E27FC236}">
              <a16:creationId xmlns:a16="http://schemas.microsoft.com/office/drawing/2014/main" id="{00000000-0008-0000-0000-00008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397" name="Line 333">
          <a:extLst>
            <a:ext uri="{FF2B5EF4-FFF2-40B4-BE49-F238E27FC236}">
              <a16:creationId xmlns:a16="http://schemas.microsoft.com/office/drawing/2014/main" id="{00000000-0008-0000-0000-00008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98" name="Line 334">
          <a:extLst>
            <a:ext uri="{FF2B5EF4-FFF2-40B4-BE49-F238E27FC236}">
              <a16:creationId xmlns:a16="http://schemas.microsoft.com/office/drawing/2014/main" id="{00000000-0008-0000-0000-00008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399" name="Line 335">
          <a:extLst>
            <a:ext uri="{FF2B5EF4-FFF2-40B4-BE49-F238E27FC236}">
              <a16:creationId xmlns:a16="http://schemas.microsoft.com/office/drawing/2014/main" id="{00000000-0008-0000-0000-00008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00" name="Line 336">
          <a:extLst>
            <a:ext uri="{FF2B5EF4-FFF2-40B4-BE49-F238E27FC236}">
              <a16:creationId xmlns:a16="http://schemas.microsoft.com/office/drawing/2014/main" id="{00000000-0008-0000-0000-00008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01" name="Line 337">
          <a:extLst>
            <a:ext uri="{FF2B5EF4-FFF2-40B4-BE49-F238E27FC236}">
              <a16:creationId xmlns:a16="http://schemas.microsoft.com/office/drawing/2014/main" id="{00000000-0008-0000-0000-00008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02" name="Line 338">
          <a:extLst>
            <a:ext uri="{FF2B5EF4-FFF2-40B4-BE49-F238E27FC236}">
              <a16:creationId xmlns:a16="http://schemas.microsoft.com/office/drawing/2014/main" id="{00000000-0008-0000-0000-00008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03" name="Line 339">
          <a:extLst>
            <a:ext uri="{FF2B5EF4-FFF2-40B4-BE49-F238E27FC236}">
              <a16:creationId xmlns:a16="http://schemas.microsoft.com/office/drawing/2014/main" id="{00000000-0008-0000-0000-00008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04" name="Line 340">
          <a:extLst>
            <a:ext uri="{FF2B5EF4-FFF2-40B4-BE49-F238E27FC236}">
              <a16:creationId xmlns:a16="http://schemas.microsoft.com/office/drawing/2014/main" id="{00000000-0008-0000-0000-00008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05" name="Line 341">
          <a:extLst>
            <a:ext uri="{FF2B5EF4-FFF2-40B4-BE49-F238E27FC236}">
              <a16:creationId xmlns:a16="http://schemas.microsoft.com/office/drawing/2014/main" id="{00000000-0008-0000-0000-00008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06" name="Line 342">
          <a:extLst>
            <a:ext uri="{FF2B5EF4-FFF2-40B4-BE49-F238E27FC236}">
              <a16:creationId xmlns:a16="http://schemas.microsoft.com/office/drawing/2014/main" id="{00000000-0008-0000-0000-00008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07" name="Line 343">
          <a:extLst>
            <a:ext uri="{FF2B5EF4-FFF2-40B4-BE49-F238E27FC236}">
              <a16:creationId xmlns:a16="http://schemas.microsoft.com/office/drawing/2014/main" id="{00000000-0008-0000-0000-00008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08" name="Line 344">
          <a:extLst>
            <a:ext uri="{FF2B5EF4-FFF2-40B4-BE49-F238E27FC236}">
              <a16:creationId xmlns:a16="http://schemas.microsoft.com/office/drawing/2014/main" id="{00000000-0008-0000-0000-00009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09" name="Line 345">
          <a:extLst>
            <a:ext uri="{FF2B5EF4-FFF2-40B4-BE49-F238E27FC236}">
              <a16:creationId xmlns:a16="http://schemas.microsoft.com/office/drawing/2014/main" id="{00000000-0008-0000-0000-00009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10" name="Line 346">
          <a:extLst>
            <a:ext uri="{FF2B5EF4-FFF2-40B4-BE49-F238E27FC236}">
              <a16:creationId xmlns:a16="http://schemas.microsoft.com/office/drawing/2014/main" id="{00000000-0008-0000-0000-00009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11" name="Line 347">
          <a:extLst>
            <a:ext uri="{FF2B5EF4-FFF2-40B4-BE49-F238E27FC236}">
              <a16:creationId xmlns:a16="http://schemas.microsoft.com/office/drawing/2014/main" id="{00000000-0008-0000-0000-00009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12" name="Line 348">
          <a:extLst>
            <a:ext uri="{FF2B5EF4-FFF2-40B4-BE49-F238E27FC236}">
              <a16:creationId xmlns:a16="http://schemas.microsoft.com/office/drawing/2014/main" id="{00000000-0008-0000-0000-00009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13" name="Line 349">
          <a:extLst>
            <a:ext uri="{FF2B5EF4-FFF2-40B4-BE49-F238E27FC236}">
              <a16:creationId xmlns:a16="http://schemas.microsoft.com/office/drawing/2014/main" id="{00000000-0008-0000-0000-00009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14" name="Line 350">
          <a:extLst>
            <a:ext uri="{FF2B5EF4-FFF2-40B4-BE49-F238E27FC236}">
              <a16:creationId xmlns:a16="http://schemas.microsoft.com/office/drawing/2014/main" id="{00000000-0008-0000-0000-00009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15" name="Line 351">
          <a:extLst>
            <a:ext uri="{FF2B5EF4-FFF2-40B4-BE49-F238E27FC236}">
              <a16:creationId xmlns:a16="http://schemas.microsoft.com/office/drawing/2014/main" id="{00000000-0008-0000-0000-00009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16" name="Line 352">
          <a:extLst>
            <a:ext uri="{FF2B5EF4-FFF2-40B4-BE49-F238E27FC236}">
              <a16:creationId xmlns:a16="http://schemas.microsoft.com/office/drawing/2014/main" id="{00000000-0008-0000-0000-00009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17" name="Line 353">
          <a:extLst>
            <a:ext uri="{FF2B5EF4-FFF2-40B4-BE49-F238E27FC236}">
              <a16:creationId xmlns:a16="http://schemas.microsoft.com/office/drawing/2014/main" id="{00000000-0008-0000-0000-00009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18" name="Line 354">
          <a:extLst>
            <a:ext uri="{FF2B5EF4-FFF2-40B4-BE49-F238E27FC236}">
              <a16:creationId xmlns:a16="http://schemas.microsoft.com/office/drawing/2014/main" id="{00000000-0008-0000-0000-00009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19" name="Line 355">
          <a:extLst>
            <a:ext uri="{FF2B5EF4-FFF2-40B4-BE49-F238E27FC236}">
              <a16:creationId xmlns:a16="http://schemas.microsoft.com/office/drawing/2014/main" id="{00000000-0008-0000-0000-00009B42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20" name="Line 356">
          <a:extLst>
            <a:ext uri="{FF2B5EF4-FFF2-40B4-BE49-F238E27FC236}">
              <a16:creationId xmlns:a16="http://schemas.microsoft.com/office/drawing/2014/main" id="{00000000-0008-0000-0000-00009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21" name="Line 357">
          <a:extLst>
            <a:ext uri="{FF2B5EF4-FFF2-40B4-BE49-F238E27FC236}">
              <a16:creationId xmlns:a16="http://schemas.microsoft.com/office/drawing/2014/main" id="{00000000-0008-0000-0000-00009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22" name="Line 358">
          <a:extLst>
            <a:ext uri="{FF2B5EF4-FFF2-40B4-BE49-F238E27FC236}">
              <a16:creationId xmlns:a16="http://schemas.microsoft.com/office/drawing/2014/main" id="{00000000-0008-0000-0000-00009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23" name="Line 359">
          <a:extLst>
            <a:ext uri="{FF2B5EF4-FFF2-40B4-BE49-F238E27FC236}">
              <a16:creationId xmlns:a16="http://schemas.microsoft.com/office/drawing/2014/main" id="{00000000-0008-0000-0000-00009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24" name="Line 360">
          <a:extLst>
            <a:ext uri="{FF2B5EF4-FFF2-40B4-BE49-F238E27FC236}">
              <a16:creationId xmlns:a16="http://schemas.microsoft.com/office/drawing/2014/main" id="{00000000-0008-0000-0000-0000A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25" name="Line 361">
          <a:extLst>
            <a:ext uri="{FF2B5EF4-FFF2-40B4-BE49-F238E27FC236}">
              <a16:creationId xmlns:a16="http://schemas.microsoft.com/office/drawing/2014/main" id="{00000000-0008-0000-0000-0000A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26" name="Line 362">
          <a:extLst>
            <a:ext uri="{FF2B5EF4-FFF2-40B4-BE49-F238E27FC236}">
              <a16:creationId xmlns:a16="http://schemas.microsoft.com/office/drawing/2014/main" id="{00000000-0008-0000-0000-0000A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27" name="Line 363">
          <a:extLst>
            <a:ext uri="{FF2B5EF4-FFF2-40B4-BE49-F238E27FC236}">
              <a16:creationId xmlns:a16="http://schemas.microsoft.com/office/drawing/2014/main" id="{00000000-0008-0000-0000-0000A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28" name="Line 364">
          <a:extLst>
            <a:ext uri="{FF2B5EF4-FFF2-40B4-BE49-F238E27FC236}">
              <a16:creationId xmlns:a16="http://schemas.microsoft.com/office/drawing/2014/main" id="{00000000-0008-0000-0000-0000A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29" name="Line 365">
          <a:extLst>
            <a:ext uri="{FF2B5EF4-FFF2-40B4-BE49-F238E27FC236}">
              <a16:creationId xmlns:a16="http://schemas.microsoft.com/office/drawing/2014/main" id="{00000000-0008-0000-0000-0000A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30" name="Line 366">
          <a:extLst>
            <a:ext uri="{FF2B5EF4-FFF2-40B4-BE49-F238E27FC236}">
              <a16:creationId xmlns:a16="http://schemas.microsoft.com/office/drawing/2014/main" id="{00000000-0008-0000-0000-0000A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31" name="Line 367">
          <a:extLst>
            <a:ext uri="{FF2B5EF4-FFF2-40B4-BE49-F238E27FC236}">
              <a16:creationId xmlns:a16="http://schemas.microsoft.com/office/drawing/2014/main" id="{00000000-0008-0000-0000-0000A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32" name="Line 368">
          <a:extLst>
            <a:ext uri="{FF2B5EF4-FFF2-40B4-BE49-F238E27FC236}">
              <a16:creationId xmlns:a16="http://schemas.microsoft.com/office/drawing/2014/main" id="{00000000-0008-0000-0000-0000A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33" name="Line 369">
          <a:extLst>
            <a:ext uri="{FF2B5EF4-FFF2-40B4-BE49-F238E27FC236}">
              <a16:creationId xmlns:a16="http://schemas.microsoft.com/office/drawing/2014/main" id="{00000000-0008-0000-0000-0000A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34" name="Line 370">
          <a:extLst>
            <a:ext uri="{FF2B5EF4-FFF2-40B4-BE49-F238E27FC236}">
              <a16:creationId xmlns:a16="http://schemas.microsoft.com/office/drawing/2014/main" id="{00000000-0008-0000-0000-0000A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35" name="Line 371">
          <a:extLst>
            <a:ext uri="{FF2B5EF4-FFF2-40B4-BE49-F238E27FC236}">
              <a16:creationId xmlns:a16="http://schemas.microsoft.com/office/drawing/2014/main" id="{00000000-0008-0000-0000-0000A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36" name="Line 372">
          <a:extLst>
            <a:ext uri="{FF2B5EF4-FFF2-40B4-BE49-F238E27FC236}">
              <a16:creationId xmlns:a16="http://schemas.microsoft.com/office/drawing/2014/main" id="{00000000-0008-0000-0000-0000A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37" name="Line 373">
          <a:extLst>
            <a:ext uri="{FF2B5EF4-FFF2-40B4-BE49-F238E27FC236}">
              <a16:creationId xmlns:a16="http://schemas.microsoft.com/office/drawing/2014/main" id="{00000000-0008-0000-0000-0000A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38" name="Line 374">
          <a:extLst>
            <a:ext uri="{FF2B5EF4-FFF2-40B4-BE49-F238E27FC236}">
              <a16:creationId xmlns:a16="http://schemas.microsoft.com/office/drawing/2014/main" id="{00000000-0008-0000-0000-0000A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39" name="Line 375">
          <a:extLst>
            <a:ext uri="{FF2B5EF4-FFF2-40B4-BE49-F238E27FC236}">
              <a16:creationId xmlns:a16="http://schemas.microsoft.com/office/drawing/2014/main" id="{00000000-0008-0000-0000-0000A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40" name="Line 376">
          <a:extLst>
            <a:ext uri="{FF2B5EF4-FFF2-40B4-BE49-F238E27FC236}">
              <a16:creationId xmlns:a16="http://schemas.microsoft.com/office/drawing/2014/main" id="{00000000-0008-0000-0000-0000B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41" name="Line 377">
          <a:extLst>
            <a:ext uri="{FF2B5EF4-FFF2-40B4-BE49-F238E27FC236}">
              <a16:creationId xmlns:a16="http://schemas.microsoft.com/office/drawing/2014/main" id="{00000000-0008-0000-0000-0000B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42" name="Line 378">
          <a:extLst>
            <a:ext uri="{FF2B5EF4-FFF2-40B4-BE49-F238E27FC236}">
              <a16:creationId xmlns:a16="http://schemas.microsoft.com/office/drawing/2014/main" id="{00000000-0008-0000-0000-0000B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43" name="Line 379">
          <a:extLst>
            <a:ext uri="{FF2B5EF4-FFF2-40B4-BE49-F238E27FC236}">
              <a16:creationId xmlns:a16="http://schemas.microsoft.com/office/drawing/2014/main" id="{00000000-0008-0000-0000-0000B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44" name="Line 380">
          <a:extLst>
            <a:ext uri="{FF2B5EF4-FFF2-40B4-BE49-F238E27FC236}">
              <a16:creationId xmlns:a16="http://schemas.microsoft.com/office/drawing/2014/main" id="{00000000-0008-0000-0000-0000B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45" name="Line 381">
          <a:extLst>
            <a:ext uri="{FF2B5EF4-FFF2-40B4-BE49-F238E27FC236}">
              <a16:creationId xmlns:a16="http://schemas.microsoft.com/office/drawing/2014/main" id="{00000000-0008-0000-0000-0000B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46" name="Line 382">
          <a:extLst>
            <a:ext uri="{FF2B5EF4-FFF2-40B4-BE49-F238E27FC236}">
              <a16:creationId xmlns:a16="http://schemas.microsoft.com/office/drawing/2014/main" id="{00000000-0008-0000-0000-0000B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47" name="Line 383">
          <a:extLst>
            <a:ext uri="{FF2B5EF4-FFF2-40B4-BE49-F238E27FC236}">
              <a16:creationId xmlns:a16="http://schemas.microsoft.com/office/drawing/2014/main" id="{00000000-0008-0000-0000-0000B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48" name="Line 384">
          <a:extLst>
            <a:ext uri="{FF2B5EF4-FFF2-40B4-BE49-F238E27FC236}">
              <a16:creationId xmlns:a16="http://schemas.microsoft.com/office/drawing/2014/main" id="{00000000-0008-0000-0000-0000B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49" name="Line 385">
          <a:extLst>
            <a:ext uri="{FF2B5EF4-FFF2-40B4-BE49-F238E27FC236}">
              <a16:creationId xmlns:a16="http://schemas.microsoft.com/office/drawing/2014/main" id="{00000000-0008-0000-0000-0000B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50" name="Line 386">
          <a:extLst>
            <a:ext uri="{FF2B5EF4-FFF2-40B4-BE49-F238E27FC236}">
              <a16:creationId xmlns:a16="http://schemas.microsoft.com/office/drawing/2014/main" id="{00000000-0008-0000-0000-0000B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51" name="Line 387">
          <a:extLst>
            <a:ext uri="{FF2B5EF4-FFF2-40B4-BE49-F238E27FC236}">
              <a16:creationId xmlns:a16="http://schemas.microsoft.com/office/drawing/2014/main" id="{00000000-0008-0000-0000-0000B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52" name="Line 388">
          <a:extLst>
            <a:ext uri="{FF2B5EF4-FFF2-40B4-BE49-F238E27FC236}">
              <a16:creationId xmlns:a16="http://schemas.microsoft.com/office/drawing/2014/main" id="{00000000-0008-0000-0000-0000B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53" name="Line 389">
          <a:extLst>
            <a:ext uri="{FF2B5EF4-FFF2-40B4-BE49-F238E27FC236}">
              <a16:creationId xmlns:a16="http://schemas.microsoft.com/office/drawing/2014/main" id="{00000000-0008-0000-0000-0000B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54" name="Line 390">
          <a:extLst>
            <a:ext uri="{FF2B5EF4-FFF2-40B4-BE49-F238E27FC236}">
              <a16:creationId xmlns:a16="http://schemas.microsoft.com/office/drawing/2014/main" id="{00000000-0008-0000-0000-0000B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55" name="Line 391">
          <a:extLst>
            <a:ext uri="{FF2B5EF4-FFF2-40B4-BE49-F238E27FC236}">
              <a16:creationId xmlns:a16="http://schemas.microsoft.com/office/drawing/2014/main" id="{00000000-0008-0000-0000-0000B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56" name="Line 392">
          <a:extLst>
            <a:ext uri="{FF2B5EF4-FFF2-40B4-BE49-F238E27FC236}">
              <a16:creationId xmlns:a16="http://schemas.microsoft.com/office/drawing/2014/main" id="{00000000-0008-0000-0000-0000C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57" name="Line 393">
          <a:extLst>
            <a:ext uri="{FF2B5EF4-FFF2-40B4-BE49-F238E27FC236}">
              <a16:creationId xmlns:a16="http://schemas.microsoft.com/office/drawing/2014/main" id="{00000000-0008-0000-0000-0000C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58" name="Line 394">
          <a:extLst>
            <a:ext uri="{FF2B5EF4-FFF2-40B4-BE49-F238E27FC236}">
              <a16:creationId xmlns:a16="http://schemas.microsoft.com/office/drawing/2014/main" id="{00000000-0008-0000-0000-0000C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59" name="Line 395">
          <a:extLst>
            <a:ext uri="{FF2B5EF4-FFF2-40B4-BE49-F238E27FC236}">
              <a16:creationId xmlns:a16="http://schemas.microsoft.com/office/drawing/2014/main" id="{00000000-0008-0000-0000-0000C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60" name="Line 396">
          <a:extLst>
            <a:ext uri="{FF2B5EF4-FFF2-40B4-BE49-F238E27FC236}">
              <a16:creationId xmlns:a16="http://schemas.microsoft.com/office/drawing/2014/main" id="{00000000-0008-0000-0000-0000C442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61" name="Line 397">
          <a:extLst>
            <a:ext uri="{FF2B5EF4-FFF2-40B4-BE49-F238E27FC236}">
              <a16:creationId xmlns:a16="http://schemas.microsoft.com/office/drawing/2014/main" id="{00000000-0008-0000-0000-0000C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62" name="Line 398">
          <a:extLst>
            <a:ext uri="{FF2B5EF4-FFF2-40B4-BE49-F238E27FC236}">
              <a16:creationId xmlns:a16="http://schemas.microsoft.com/office/drawing/2014/main" id="{00000000-0008-0000-0000-0000C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63" name="Line 399">
          <a:extLst>
            <a:ext uri="{FF2B5EF4-FFF2-40B4-BE49-F238E27FC236}">
              <a16:creationId xmlns:a16="http://schemas.microsoft.com/office/drawing/2014/main" id="{00000000-0008-0000-0000-0000C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64" name="Line 400">
          <a:extLst>
            <a:ext uri="{FF2B5EF4-FFF2-40B4-BE49-F238E27FC236}">
              <a16:creationId xmlns:a16="http://schemas.microsoft.com/office/drawing/2014/main" id="{00000000-0008-0000-0000-0000C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65" name="Line 401">
          <a:extLst>
            <a:ext uri="{FF2B5EF4-FFF2-40B4-BE49-F238E27FC236}">
              <a16:creationId xmlns:a16="http://schemas.microsoft.com/office/drawing/2014/main" id="{00000000-0008-0000-0000-0000C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66" name="Line 402">
          <a:extLst>
            <a:ext uri="{FF2B5EF4-FFF2-40B4-BE49-F238E27FC236}">
              <a16:creationId xmlns:a16="http://schemas.microsoft.com/office/drawing/2014/main" id="{00000000-0008-0000-0000-0000C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67" name="Line 403">
          <a:extLst>
            <a:ext uri="{FF2B5EF4-FFF2-40B4-BE49-F238E27FC236}">
              <a16:creationId xmlns:a16="http://schemas.microsoft.com/office/drawing/2014/main" id="{00000000-0008-0000-0000-0000C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68" name="Line 404">
          <a:extLst>
            <a:ext uri="{FF2B5EF4-FFF2-40B4-BE49-F238E27FC236}">
              <a16:creationId xmlns:a16="http://schemas.microsoft.com/office/drawing/2014/main" id="{00000000-0008-0000-0000-0000C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69" name="Line 405">
          <a:extLst>
            <a:ext uri="{FF2B5EF4-FFF2-40B4-BE49-F238E27FC236}">
              <a16:creationId xmlns:a16="http://schemas.microsoft.com/office/drawing/2014/main" id="{00000000-0008-0000-0000-0000C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70" name="Line 406">
          <a:extLst>
            <a:ext uri="{FF2B5EF4-FFF2-40B4-BE49-F238E27FC236}">
              <a16:creationId xmlns:a16="http://schemas.microsoft.com/office/drawing/2014/main" id="{00000000-0008-0000-0000-0000C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71" name="Line 407">
          <a:extLst>
            <a:ext uri="{FF2B5EF4-FFF2-40B4-BE49-F238E27FC236}">
              <a16:creationId xmlns:a16="http://schemas.microsoft.com/office/drawing/2014/main" id="{00000000-0008-0000-0000-0000C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72" name="Line 408">
          <a:extLst>
            <a:ext uri="{FF2B5EF4-FFF2-40B4-BE49-F238E27FC236}">
              <a16:creationId xmlns:a16="http://schemas.microsoft.com/office/drawing/2014/main" id="{00000000-0008-0000-0000-0000D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73" name="Line 409">
          <a:extLst>
            <a:ext uri="{FF2B5EF4-FFF2-40B4-BE49-F238E27FC236}">
              <a16:creationId xmlns:a16="http://schemas.microsoft.com/office/drawing/2014/main" id="{00000000-0008-0000-0000-0000D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74" name="Line 410">
          <a:extLst>
            <a:ext uri="{FF2B5EF4-FFF2-40B4-BE49-F238E27FC236}">
              <a16:creationId xmlns:a16="http://schemas.microsoft.com/office/drawing/2014/main" id="{00000000-0008-0000-0000-0000D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75" name="Line 411">
          <a:extLst>
            <a:ext uri="{FF2B5EF4-FFF2-40B4-BE49-F238E27FC236}">
              <a16:creationId xmlns:a16="http://schemas.microsoft.com/office/drawing/2014/main" id="{00000000-0008-0000-0000-0000D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76" name="Line 412">
          <a:extLst>
            <a:ext uri="{FF2B5EF4-FFF2-40B4-BE49-F238E27FC236}">
              <a16:creationId xmlns:a16="http://schemas.microsoft.com/office/drawing/2014/main" id="{00000000-0008-0000-0000-0000D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77" name="Line 413">
          <a:extLst>
            <a:ext uri="{FF2B5EF4-FFF2-40B4-BE49-F238E27FC236}">
              <a16:creationId xmlns:a16="http://schemas.microsoft.com/office/drawing/2014/main" id="{00000000-0008-0000-0000-0000D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78" name="Line 414">
          <a:extLst>
            <a:ext uri="{FF2B5EF4-FFF2-40B4-BE49-F238E27FC236}">
              <a16:creationId xmlns:a16="http://schemas.microsoft.com/office/drawing/2014/main" id="{00000000-0008-0000-0000-0000D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79" name="Line 415">
          <a:extLst>
            <a:ext uri="{FF2B5EF4-FFF2-40B4-BE49-F238E27FC236}">
              <a16:creationId xmlns:a16="http://schemas.microsoft.com/office/drawing/2014/main" id="{00000000-0008-0000-0000-0000D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80" name="Line 416">
          <a:extLst>
            <a:ext uri="{FF2B5EF4-FFF2-40B4-BE49-F238E27FC236}">
              <a16:creationId xmlns:a16="http://schemas.microsoft.com/office/drawing/2014/main" id="{00000000-0008-0000-0000-0000D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81" name="Line 417">
          <a:extLst>
            <a:ext uri="{FF2B5EF4-FFF2-40B4-BE49-F238E27FC236}">
              <a16:creationId xmlns:a16="http://schemas.microsoft.com/office/drawing/2014/main" id="{00000000-0008-0000-0000-0000D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82" name="Line 418">
          <a:extLst>
            <a:ext uri="{FF2B5EF4-FFF2-40B4-BE49-F238E27FC236}">
              <a16:creationId xmlns:a16="http://schemas.microsoft.com/office/drawing/2014/main" id="{00000000-0008-0000-0000-0000D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83" name="Line 419">
          <a:extLst>
            <a:ext uri="{FF2B5EF4-FFF2-40B4-BE49-F238E27FC236}">
              <a16:creationId xmlns:a16="http://schemas.microsoft.com/office/drawing/2014/main" id="{00000000-0008-0000-0000-0000D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84" name="Line 420">
          <a:extLst>
            <a:ext uri="{FF2B5EF4-FFF2-40B4-BE49-F238E27FC236}">
              <a16:creationId xmlns:a16="http://schemas.microsoft.com/office/drawing/2014/main" id="{00000000-0008-0000-0000-0000D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85" name="Line 421">
          <a:extLst>
            <a:ext uri="{FF2B5EF4-FFF2-40B4-BE49-F238E27FC236}">
              <a16:creationId xmlns:a16="http://schemas.microsoft.com/office/drawing/2014/main" id="{00000000-0008-0000-0000-0000DD42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86" name="Line 422">
          <a:extLst>
            <a:ext uri="{FF2B5EF4-FFF2-40B4-BE49-F238E27FC236}">
              <a16:creationId xmlns:a16="http://schemas.microsoft.com/office/drawing/2014/main" id="{00000000-0008-0000-0000-0000D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87" name="Line 423">
          <a:extLst>
            <a:ext uri="{FF2B5EF4-FFF2-40B4-BE49-F238E27FC236}">
              <a16:creationId xmlns:a16="http://schemas.microsoft.com/office/drawing/2014/main" id="{00000000-0008-0000-0000-0000D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88" name="Line 424">
          <a:extLst>
            <a:ext uri="{FF2B5EF4-FFF2-40B4-BE49-F238E27FC236}">
              <a16:creationId xmlns:a16="http://schemas.microsoft.com/office/drawing/2014/main" id="{00000000-0008-0000-0000-0000E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89" name="Line 425">
          <a:extLst>
            <a:ext uri="{FF2B5EF4-FFF2-40B4-BE49-F238E27FC236}">
              <a16:creationId xmlns:a16="http://schemas.microsoft.com/office/drawing/2014/main" id="{00000000-0008-0000-0000-0000E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90" name="Line 426">
          <a:extLst>
            <a:ext uri="{FF2B5EF4-FFF2-40B4-BE49-F238E27FC236}">
              <a16:creationId xmlns:a16="http://schemas.microsoft.com/office/drawing/2014/main" id="{00000000-0008-0000-0000-0000E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91" name="Line 427">
          <a:extLst>
            <a:ext uri="{FF2B5EF4-FFF2-40B4-BE49-F238E27FC236}">
              <a16:creationId xmlns:a16="http://schemas.microsoft.com/office/drawing/2014/main" id="{00000000-0008-0000-0000-0000E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92" name="Line 428">
          <a:extLst>
            <a:ext uri="{FF2B5EF4-FFF2-40B4-BE49-F238E27FC236}">
              <a16:creationId xmlns:a16="http://schemas.microsoft.com/office/drawing/2014/main" id="{00000000-0008-0000-0000-0000E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93" name="Line 429">
          <a:extLst>
            <a:ext uri="{FF2B5EF4-FFF2-40B4-BE49-F238E27FC236}">
              <a16:creationId xmlns:a16="http://schemas.microsoft.com/office/drawing/2014/main" id="{00000000-0008-0000-0000-0000E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94" name="Line 430">
          <a:extLst>
            <a:ext uri="{FF2B5EF4-FFF2-40B4-BE49-F238E27FC236}">
              <a16:creationId xmlns:a16="http://schemas.microsoft.com/office/drawing/2014/main" id="{00000000-0008-0000-0000-0000E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95" name="Line 431">
          <a:extLst>
            <a:ext uri="{FF2B5EF4-FFF2-40B4-BE49-F238E27FC236}">
              <a16:creationId xmlns:a16="http://schemas.microsoft.com/office/drawing/2014/main" id="{00000000-0008-0000-0000-0000E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96" name="Line 432">
          <a:extLst>
            <a:ext uri="{FF2B5EF4-FFF2-40B4-BE49-F238E27FC236}">
              <a16:creationId xmlns:a16="http://schemas.microsoft.com/office/drawing/2014/main" id="{00000000-0008-0000-0000-0000E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97" name="Line 433">
          <a:extLst>
            <a:ext uri="{FF2B5EF4-FFF2-40B4-BE49-F238E27FC236}">
              <a16:creationId xmlns:a16="http://schemas.microsoft.com/office/drawing/2014/main" id="{00000000-0008-0000-0000-0000E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498" name="Line 434">
          <a:extLst>
            <a:ext uri="{FF2B5EF4-FFF2-40B4-BE49-F238E27FC236}">
              <a16:creationId xmlns:a16="http://schemas.microsoft.com/office/drawing/2014/main" id="{00000000-0008-0000-0000-0000E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499" name="Line 435">
          <a:extLst>
            <a:ext uri="{FF2B5EF4-FFF2-40B4-BE49-F238E27FC236}">
              <a16:creationId xmlns:a16="http://schemas.microsoft.com/office/drawing/2014/main" id="{00000000-0008-0000-0000-0000E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00" name="Line 436">
          <a:extLst>
            <a:ext uri="{FF2B5EF4-FFF2-40B4-BE49-F238E27FC236}">
              <a16:creationId xmlns:a16="http://schemas.microsoft.com/office/drawing/2014/main" id="{00000000-0008-0000-0000-0000E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01" name="Line 437">
          <a:extLst>
            <a:ext uri="{FF2B5EF4-FFF2-40B4-BE49-F238E27FC236}">
              <a16:creationId xmlns:a16="http://schemas.microsoft.com/office/drawing/2014/main" id="{00000000-0008-0000-0000-0000E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02" name="Line 438">
          <a:extLst>
            <a:ext uri="{FF2B5EF4-FFF2-40B4-BE49-F238E27FC236}">
              <a16:creationId xmlns:a16="http://schemas.microsoft.com/office/drawing/2014/main" id="{00000000-0008-0000-0000-0000E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03" name="Line 439">
          <a:extLst>
            <a:ext uri="{FF2B5EF4-FFF2-40B4-BE49-F238E27FC236}">
              <a16:creationId xmlns:a16="http://schemas.microsoft.com/office/drawing/2014/main" id="{00000000-0008-0000-0000-0000E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04" name="Line 440">
          <a:extLst>
            <a:ext uri="{FF2B5EF4-FFF2-40B4-BE49-F238E27FC236}">
              <a16:creationId xmlns:a16="http://schemas.microsoft.com/office/drawing/2014/main" id="{00000000-0008-0000-0000-0000F0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05" name="Line 441">
          <a:extLst>
            <a:ext uri="{FF2B5EF4-FFF2-40B4-BE49-F238E27FC236}">
              <a16:creationId xmlns:a16="http://schemas.microsoft.com/office/drawing/2014/main" id="{00000000-0008-0000-0000-0000F1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06" name="Line 442">
          <a:extLst>
            <a:ext uri="{FF2B5EF4-FFF2-40B4-BE49-F238E27FC236}">
              <a16:creationId xmlns:a16="http://schemas.microsoft.com/office/drawing/2014/main" id="{00000000-0008-0000-0000-0000F2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07" name="Line 443">
          <a:extLst>
            <a:ext uri="{FF2B5EF4-FFF2-40B4-BE49-F238E27FC236}">
              <a16:creationId xmlns:a16="http://schemas.microsoft.com/office/drawing/2014/main" id="{00000000-0008-0000-0000-0000F3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08" name="Line 444">
          <a:extLst>
            <a:ext uri="{FF2B5EF4-FFF2-40B4-BE49-F238E27FC236}">
              <a16:creationId xmlns:a16="http://schemas.microsoft.com/office/drawing/2014/main" id="{00000000-0008-0000-0000-0000F4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09" name="Line 445">
          <a:extLst>
            <a:ext uri="{FF2B5EF4-FFF2-40B4-BE49-F238E27FC236}">
              <a16:creationId xmlns:a16="http://schemas.microsoft.com/office/drawing/2014/main" id="{00000000-0008-0000-0000-0000F5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10" name="Line 446">
          <a:extLst>
            <a:ext uri="{FF2B5EF4-FFF2-40B4-BE49-F238E27FC236}">
              <a16:creationId xmlns:a16="http://schemas.microsoft.com/office/drawing/2014/main" id="{00000000-0008-0000-0000-0000F6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11" name="Line 447">
          <a:extLst>
            <a:ext uri="{FF2B5EF4-FFF2-40B4-BE49-F238E27FC236}">
              <a16:creationId xmlns:a16="http://schemas.microsoft.com/office/drawing/2014/main" id="{00000000-0008-0000-0000-0000F7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12" name="Line 448">
          <a:extLst>
            <a:ext uri="{FF2B5EF4-FFF2-40B4-BE49-F238E27FC236}">
              <a16:creationId xmlns:a16="http://schemas.microsoft.com/office/drawing/2014/main" id="{00000000-0008-0000-0000-0000F8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13" name="Line 449">
          <a:extLst>
            <a:ext uri="{FF2B5EF4-FFF2-40B4-BE49-F238E27FC236}">
              <a16:creationId xmlns:a16="http://schemas.microsoft.com/office/drawing/2014/main" id="{00000000-0008-0000-0000-0000F9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14" name="Line 450">
          <a:extLst>
            <a:ext uri="{FF2B5EF4-FFF2-40B4-BE49-F238E27FC236}">
              <a16:creationId xmlns:a16="http://schemas.microsoft.com/office/drawing/2014/main" id="{00000000-0008-0000-0000-0000FA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15" name="Line 451">
          <a:extLst>
            <a:ext uri="{FF2B5EF4-FFF2-40B4-BE49-F238E27FC236}">
              <a16:creationId xmlns:a16="http://schemas.microsoft.com/office/drawing/2014/main" id="{00000000-0008-0000-0000-0000FB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16" name="Line 452">
          <a:extLst>
            <a:ext uri="{FF2B5EF4-FFF2-40B4-BE49-F238E27FC236}">
              <a16:creationId xmlns:a16="http://schemas.microsoft.com/office/drawing/2014/main" id="{00000000-0008-0000-0000-0000FC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17" name="Line 453">
          <a:extLst>
            <a:ext uri="{FF2B5EF4-FFF2-40B4-BE49-F238E27FC236}">
              <a16:creationId xmlns:a16="http://schemas.microsoft.com/office/drawing/2014/main" id="{00000000-0008-0000-0000-0000FD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18" name="Line 454">
          <a:extLst>
            <a:ext uri="{FF2B5EF4-FFF2-40B4-BE49-F238E27FC236}">
              <a16:creationId xmlns:a16="http://schemas.microsoft.com/office/drawing/2014/main" id="{00000000-0008-0000-0000-0000FE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19" name="Line 455">
          <a:extLst>
            <a:ext uri="{FF2B5EF4-FFF2-40B4-BE49-F238E27FC236}">
              <a16:creationId xmlns:a16="http://schemas.microsoft.com/office/drawing/2014/main" id="{00000000-0008-0000-0000-0000FF42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20" name="Line 456">
          <a:extLst>
            <a:ext uri="{FF2B5EF4-FFF2-40B4-BE49-F238E27FC236}">
              <a16:creationId xmlns:a16="http://schemas.microsoft.com/office/drawing/2014/main" id="{00000000-0008-0000-0000-00000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21" name="Line 457">
          <a:extLst>
            <a:ext uri="{FF2B5EF4-FFF2-40B4-BE49-F238E27FC236}">
              <a16:creationId xmlns:a16="http://schemas.microsoft.com/office/drawing/2014/main" id="{00000000-0008-0000-0000-00000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22" name="Line 458">
          <a:extLst>
            <a:ext uri="{FF2B5EF4-FFF2-40B4-BE49-F238E27FC236}">
              <a16:creationId xmlns:a16="http://schemas.microsoft.com/office/drawing/2014/main" id="{00000000-0008-0000-0000-00000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23" name="Line 459">
          <a:extLst>
            <a:ext uri="{FF2B5EF4-FFF2-40B4-BE49-F238E27FC236}">
              <a16:creationId xmlns:a16="http://schemas.microsoft.com/office/drawing/2014/main" id="{00000000-0008-0000-0000-00000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24" name="Line 460">
          <a:extLst>
            <a:ext uri="{FF2B5EF4-FFF2-40B4-BE49-F238E27FC236}">
              <a16:creationId xmlns:a16="http://schemas.microsoft.com/office/drawing/2014/main" id="{00000000-0008-0000-0000-00000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25" name="Line 461">
          <a:extLst>
            <a:ext uri="{FF2B5EF4-FFF2-40B4-BE49-F238E27FC236}">
              <a16:creationId xmlns:a16="http://schemas.microsoft.com/office/drawing/2014/main" id="{00000000-0008-0000-0000-00000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26" name="Line 462">
          <a:extLst>
            <a:ext uri="{FF2B5EF4-FFF2-40B4-BE49-F238E27FC236}">
              <a16:creationId xmlns:a16="http://schemas.microsoft.com/office/drawing/2014/main" id="{00000000-0008-0000-0000-00000643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27" name="Line 463">
          <a:extLst>
            <a:ext uri="{FF2B5EF4-FFF2-40B4-BE49-F238E27FC236}">
              <a16:creationId xmlns:a16="http://schemas.microsoft.com/office/drawing/2014/main" id="{00000000-0008-0000-0000-00000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28" name="Line 464">
          <a:extLst>
            <a:ext uri="{FF2B5EF4-FFF2-40B4-BE49-F238E27FC236}">
              <a16:creationId xmlns:a16="http://schemas.microsoft.com/office/drawing/2014/main" id="{00000000-0008-0000-0000-00000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29" name="Line 465">
          <a:extLst>
            <a:ext uri="{FF2B5EF4-FFF2-40B4-BE49-F238E27FC236}">
              <a16:creationId xmlns:a16="http://schemas.microsoft.com/office/drawing/2014/main" id="{00000000-0008-0000-0000-00000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30" name="Line 466">
          <a:extLst>
            <a:ext uri="{FF2B5EF4-FFF2-40B4-BE49-F238E27FC236}">
              <a16:creationId xmlns:a16="http://schemas.microsoft.com/office/drawing/2014/main" id="{00000000-0008-0000-0000-00000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31" name="Line 467">
          <a:extLst>
            <a:ext uri="{FF2B5EF4-FFF2-40B4-BE49-F238E27FC236}">
              <a16:creationId xmlns:a16="http://schemas.microsoft.com/office/drawing/2014/main" id="{00000000-0008-0000-0000-00000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32" name="Line 468">
          <a:extLst>
            <a:ext uri="{FF2B5EF4-FFF2-40B4-BE49-F238E27FC236}">
              <a16:creationId xmlns:a16="http://schemas.microsoft.com/office/drawing/2014/main" id="{00000000-0008-0000-0000-00000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33" name="Line 469">
          <a:extLst>
            <a:ext uri="{FF2B5EF4-FFF2-40B4-BE49-F238E27FC236}">
              <a16:creationId xmlns:a16="http://schemas.microsoft.com/office/drawing/2014/main" id="{00000000-0008-0000-0000-00000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34" name="Line 470">
          <a:extLst>
            <a:ext uri="{FF2B5EF4-FFF2-40B4-BE49-F238E27FC236}">
              <a16:creationId xmlns:a16="http://schemas.microsoft.com/office/drawing/2014/main" id="{00000000-0008-0000-0000-00000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35" name="Line 471">
          <a:extLst>
            <a:ext uri="{FF2B5EF4-FFF2-40B4-BE49-F238E27FC236}">
              <a16:creationId xmlns:a16="http://schemas.microsoft.com/office/drawing/2014/main" id="{00000000-0008-0000-0000-00000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36" name="Line 472">
          <a:extLst>
            <a:ext uri="{FF2B5EF4-FFF2-40B4-BE49-F238E27FC236}">
              <a16:creationId xmlns:a16="http://schemas.microsoft.com/office/drawing/2014/main" id="{00000000-0008-0000-0000-00001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37" name="Line 473">
          <a:extLst>
            <a:ext uri="{FF2B5EF4-FFF2-40B4-BE49-F238E27FC236}">
              <a16:creationId xmlns:a16="http://schemas.microsoft.com/office/drawing/2014/main" id="{00000000-0008-0000-0000-00001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38" name="Line 474">
          <a:extLst>
            <a:ext uri="{FF2B5EF4-FFF2-40B4-BE49-F238E27FC236}">
              <a16:creationId xmlns:a16="http://schemas.microsoft.com/office/drawing/2014/main" id="{00000000-0008-0000-0000-00001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39" name="Line 475">
          <a:extLst>
            <a:ext uri="{FF2B5EF4-FFF2-40B4-BE49-F238E27FC236}">
              <a16:creationId xmlns:a16="http://schemas.microsoft.com/office/drawing/2014/main" id="{00000000-0008-0000-0000-00001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40" name="Line 476">
          <a:extLst>
            <a:ext uri="{FF2B5EF4-FFF2-40B4-BE49-F238E27FC236}">
              <a16:creationId xmlns:a16="http://schemas.microsoft.com/office/drawing/2014/main" id="{00000000-0008-0000-0000-00001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41" name="Line 477">
          <a:extLst>
            <a:ext uri="{FF2B5EF4-FFF2-40B4-BE49-F238E27FC236}">
              <a16:creationId xmlns:a16="http://schemas.microsoft.com/office/drawing/2014/main" id="{00000000-0008-0000-0000-00001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42" name="Line 478">
          <a:extLst>
            <a:ext uri="{FF2B5EF4-FFF2-40B4-BE49-F238E27FC236}">
              <a16:creationId xmlns:a16="http://schemas.microsoft.com/office/drawing/2014/main" id="{00000000-0008-0000-0000-00001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43" name="Line 479">
          <a:extLst>
            <a:ext uri="{FF2B5EF4-FFF2-40B4-BE49-F238E27FC236}">
              <a16:creationId xmlns:a16="http://schemas.microsoft.com/office/drawing/2014/main" id="{00000000-0008-0000-0000-00001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44" name="Line 480">
          <a:extLst>
            <a:ext uri="{FF2B5EF4-FFF2-40B4-BE49-F238E27FC236}">
              <a16:creationId xmlns:a16="http://schemas.microsoft.com/office/drawing/2014/main" id="{00000000-0008-0000-0000-00001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45" name="Line 481">
          <a:extLst>
            <a:ext uri="{FF2B5EF4-FFF2-40B4-BE49-F238E27FC236}">
              <a16:creationId xmlns:a16="http://schemas.microsoft.com/office/drawing/2014/main" id="{00000000-0008-0000-0000-00001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46" name="Line 482">
          <a:extLst>
            <a:ext uri="{FF2B5EF4-FFF2-40B4-BE49-F238E27FC236}">
              <a16:creationId xmlns:a16="http://schemas.microsoft.com/office/drawing/2014/main" id="{00000000-0008-0000-0000-00001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47" name="Line 483">
          <a:extLst>
            <a:ext uri="{FF2B5EF4-FFF2-40B4-BE49-F238E27FC236}">
              <a16:creationId xmlns:a16="http://schemas.microsoft.com/office/drawing/2014/main" id="{00000000-0008-0000-0000-00001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48" name="Line 484">
          <a:extLst>
            <a:ext uri="{FF2B5EF4-FFF2-40B4-BE49-F238E27FC236}">
              <a16:creationId xmlns:a16="http://schemas.microsoft.com/office/drawing/2014/main" id="{00000000-0008-0000-0000-00001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49" name="Line 485">
          <a:extLst>
            <a:ext uri="{FF2B5EF4-FFF2-40B4-BE49-F238E27FC236}">
              <a16:creationId xmlns:a16="http://schemas.microsoft.com/office/drawing/2014/main" id="{00000000-0008-0000-0000-00001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50" name="Line 486">
          <a:extLst>
            <a:ext uri="{FF2B5EF4-FFF2-40B4-BE49-F238E27FC236}">
              <a16:creationId xmlns:a16="http://schemas.microsoft.com/office/drawing/2014/main" id="{00000000-0008-0000-0000-00001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51" name="Line 487">
          <a:extLst>
            <a:ext uri="{FF2B5EF4-FFF2-40B4-BE49-F238E27FC236}">
              <a16:creationId xmlns:a16="http://schemas.microsoft.com/office/drawing/2014/main" id="{00000000-0008-0000-0000-00001F43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52" name="Line 488">
          <a:extLst>
            <a:ext uri="{FF2B5EF4-FFF2-40B4-BE49-F238E27FC236}">
              <a16:creationId xmlns:a16="http://schemas.microsoft.com/office/drawing/2014/main" id="{00000000-0008-0000-0000-00002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53" name="Line 489">
          <a:extLst>
            <a:ext uri="{FF2B5EF4-FFF2-40B4-BE49-F238E27FC236}">
              <a16:creationId xmlns:a16="http://schemas.microsoft.com/office/drawing/2014/main" id="{00000000-0008-0000-0000-00002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54" name="Line 490">
          <a:extLst>
            <a:ext uri="{FF2B5EF4-FFF2-40B4-BE49-F238E27FC236}">
              <a16:creationId xmlns:a16="http://schemas.microsoft.com/office/drawing/2014/main" id="{00000000-0008-0000-0000-00002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55" name="Line 491">
          <a:extLst>
            <a:ext uri="{FF2B5EF4-FFF2-40B4-BE49-F238E27FC236}">
              <a16:creationId xmlns:a16="http://schemas.microsoft.com/office/drawing/2014/main" id="{00000000-0008-0000-0000-00002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56" name="Line 492">
          <a:extLst>
            <a:ext uri="{FF2B5EF4-FFF2-40B4-BE49-F238E27FC236}">
              <a16:creationId xmlns:a16="http://schemas.microsoft.com/office/drawing/2014/main" id="{00000000-0008-0000-0000-00002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57" name="Line 493">
          <a:extLst>
            <a:ext uri="{FF2B5EF4-FFF2-40B4-BE49-F238E27FC236}">
              <a16:creationId xmlns:a16="http://schemas.microsoft.com/office/drawing/2014/main" id="{00000000-0008-0000-0000-00002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58" name="Line 494">
          <a:extLst>
            <a:ext uri="{FF2B5EF4-FFF2-40B4-BE49-F238E27FC236}">
              <a16:creationId xmlns:a16="http://schemas.microsoft.com/office/drawing/2014/main" id="{00000000-0008-0000-0000-00002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59" name="Line 495">
          <a:extLst>
            <a:ext uri="{FF2B5EF4-FFF2-40B4-BE49-F238E27FC236}">
              <a16:creationId xmlns:a16="http://schemas.microsoft.com/office/drawing/2014/main" id="{00000000-0008-0000-0000-00002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60" name="Line 496">
          <a:extLst>
            <a:ext uri="{FF2B5EF4-FFF2-40B4-BE49-F238E27FC236}">
              <a16:creationId xmlns:a16="http://schemas.microsoft.com/office/drawing/2014/main" id="{00000000-0008-0000-0000-00002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61" name="Line 497">
          <a:extLst>
            <a:ext uri="{FF2B5EF4-FFF2-40B4-BE49-F238E27FC236}">
              <a16:creationId xmlns:a16="http://schemas.microsoft.com/office/drawing/2014/main" id="{00000000-0008-0000-0000-00002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62" name="Line 498">
          <a:extLst>
            <a:ext uri="{FF2B5EF4-FFF2-40B4-BE49-F238E27FC236}">
              <a16:creationId xmlns:a16="http://schemas.microsoft.com/office/drawing/2014/main" id="{00000000-0008-0000-0000-00002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63" name="Line 499">
          <a:extLst>
            <a:ext uri="{FF2B5EF4-FFF2-40B4-BE49-F238E27FC236}">
              <a16:creationId xmlns:a16="http://schemas.microsoft.com/office/drawing/2014/main" id="{00000000-0008-0000-0000-00002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64" name="Line 500">
          <a:extLst>
            <a:ext uri="{FF2B5EF4-FFF2-40B4-BE49-F238E27FC236}">
              <a16:creationId xmlns:a16="http://schemas.microsoft.com/office/drawing/2014/main" id="{00000000-0008-0000-0000-00002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65" name="Line 501">
          <a:extLst>
            <a:ext uri="{FF2B5EF4-FFF2-40B4-BE49-F238E27FC236}">
              <a16:creationId xmlns:a16="http://schemas.microsoft.com/office/drawing/2014/main" id="{00000000-0008-0000-0000-00002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66" name="Line 502">
          <a:extLst>
            <a:ext uri="{FF2B5EF4-FFF2-40B4-BE49-F238E27FC236}">
              <a16:creationId xmlns:a16="http://schemas.microsoft.com/office/drawing/2014/main" id="{00000000-0008-0000-0000-00002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67" name="Line 503">
          <a:extLst>
            <a:ext uri="{FF2B5EF4-FFF2-40B4-BE49-F238E27FC236}">
              <a16:creationId xmlns:a16="http://schemas.microsoft.com/office/drawing/2014/main" id="{00000000-0008-0000-0000-00002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68" name="Line 504">
          <a:extLst>
            <a:ext uri="{FF2B5EF4-FFF2-40B4-BE49-F238E27FC236}">
              <a16:creationId xmlns:a16="http://schemas.microsoft.com/office/drawing/2014/main" id="{00000000-0008-0000-0000-00003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69" name="Line 505">
          <a:extLst>
            <a:ext uri="{FF2B5EF4-FFF2-40B4-BE49-F238E27FC236}">
              <a16:creationId xmlns:a16="http://schemas.microsoft.com/office/drawing/2014/main" id="{00000000-0008-0000-0000-00003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70" name="Line 506">
          <a:extLst>
            <a:ext uri="{FF2B5EF4-FFF2-40B4-BE49-F238E27FC236}">
              <a16:creationId xmlns:a16="http://schemas.microsoft.com/office/drawing/2014/main" id="{00000000-0008-0000-0000-00003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71" name="Line 507">
          <a:extLst>
            <a:ext uri="{FF2B5EF4-FFF2-40B4-BE49-F238E27FC236}">
              <a16:creationId xmlns:a16="http://schemas.microsoft.com/office/drawing/2014/main" id="{00000000-0008-0000-0000-00003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72" name="Line 508">
          <a:extLst>
            <a:ext uri="{FF2B5EF4-FFF2-40B4-BE49-F238E27FC236}">
              <a16:creationId xmlns:a16="http://schemas.microsoft.com/office/drawing/2014/main" id="{00000000-0008-0000-0000-00003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73" name="Line 509">
          <a:extLst>
            <a:ext uri="{FF2B5EF4-FFF2-40B4-BE49-F238E27FC236}">
              <a16:creationId xmlns:a16="http://schemas.microsoft.com/office/drawing/2014/main" id="{00000000-0008-0000-0000-00003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74" name="Line 510">
          <a:extLst>
            <a:ext uri="{FF2B5EF4-FFF2-40B4-BE49-F238E27FC236}">
              <a16:creationId xmlns:a16="http://schemas.microsoft.com/office/drawing/2014/main" id="{00000000-0008-0000-0000-00003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75" name="Line 511">
          <a:extLst>
            <a:ext uri="{FF2B5EF4-FFF2-40B4-BE49-F238E27FC236}">
              <a16:creationId xmlns:a16="http://schemas.microsoft.com/office/drawing/2014/main" id="{00000000-0008-0000-0000-00003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76" name="Line 512">
          <a:extLst>
            <a:ext uri="{FF2B5EF4-FFF2-40B4-BE49-F238E27FC236}">
              <a16:creationId xmlns:a16="http://schemas.microsoft.com/office/drawing/2014/main" id="{00000000-0008-0000-0000-00003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77" name="Line 513">
          <a:extLst>
            <a:ext uri="{FF2B5EF4-FFF2-40B4-BE49-F238E27FC236}">
              <a16:creationId xmlns:a16="http://schemas.microsoft.com/office/drawing/2014/main" id="{00000000-0008-0000-0000-00003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78" name="Line 514">
          <a:extLst>
            <a:ext uri="{FF2B5EF4-FFF2-40B4-BE49-F238E27FC236}">
              <a16:creationId xmlns:a16="http://schemas.microsoft.com/office/drawing/2014/main" id="{00000000-0008-0000-0000-00003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79" name="Line 515">
          <a:extLst>
            <a:ext uri="{FF2B5EF4-FFF2-40B4-BE49-F238E27FC236}">
              <a16:creationId xmlns:a16="http://schemas.microsoft.com/office/drawing/2014/main" id="{00000000-0008-0000-0000-00003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80" name="Line 516">
          <a:extLst>
            <a:ext uri="{FF2B5EF4-FFF2-40B4-BE49-F238E27FC236}">
              <a16:creationId xmlns:a16="http://schemas.microsoft.com/office/drawing/2014/main" id="{00000000-0008-0000-0000-00003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81" name="Line 517">
          <a:extLst>
            <a:ext uri="{FF2B5EF4-FFF2-40B4-BE49-F238E27FC236}">
              <a16:creationId xmlns:a16="http://schemas.microsoft.com/office/drawing/2014/main" id="{00000000-0008-0000-0000-00003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82" name="Line 518">
          <a:extLst>
            <a:ext uri="{FF2B5EF4-FFF2-40B4-BE49-F238E27FC236}">
              <a16:creationId xmlns:a16="http://schemas.microsoft.com/office/drawing/2014/main" id="{00000000-0008-0000-0000-00003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83" name="Line 519">
          <a:extLst>
            <a:ext uri="{FF2B5EF4-FFF2-40B4-BE49-F238E27FC236}">
              <a16:creationId xmlns:a16="http://schemas.microsoft.com/office/drawing/2014/main" id="{00000000-0008-0000-0000-00003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84" name="Line 520">
          <a:extLst>
            <a:ext uri="{FF2B5EF4-FFF2-40B4-BE49-F238E27FC236}">
              <a16:creationId xmlns:a16="http://schemas.microsoft.com/office/drawing/2014/main" id="{00000000-0008-0000-0000-00004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85" name="Line 521">
          <a:extLst>
            <a:ext uri="{FF2B5EF4-FFF2-40B4-BE49-F238E27FC236}">
              <a16:creationId xmlns:a16="http://schemas.microsoft.com/office/drawing/2014/main" id="{00000000-0008-0000-0000-00004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86" name="Line 522">
          <a:extLst>
            <a:ext uri="{FF2B5EF4-FFF2-40B4-BE49-F238E27FC236}">
              <a16:creationId xmlns:a16="http://schemas.microsoft.com/office/drawing/2014/main" id="{00000000-0008-0000-0000-00004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87" name="Line 523">
          <a:extLst>
            <a:ext uri="{FF2B5EF4-FFF2-40B4-BE49-F238E27FC236}">
              <a16:creationId xmlns:a16="http://schemas.microsoft.com/office/drawing/2014/main" id="{00000000-0008-0000-0000-00004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88" name="Line 524">
          <a:extLst>
            <a:ext uri="{FF2B5EF4-FFF2-40B4-BE49-F238E27FC236}">
              <a16:creationId xmlns:a16="http://schemas.microsoft.com/office/drawing/2014/main" id="{00000000-0008-0000-0000-00004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89" name="Line 525">
          <a:extLst>
            <a:ext uri="{FF2B5EF4-FFF2-40B4-BE49-F238E27FC236}">
              <a16:creationId xmlns:a16="http://schemas.microsoft.com/office/drawing/2014/main" id="{00000000-0008-0000-0000-00004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90" name="Line 526">
          <a:extLst>
            <a:ext uri="{FF2B5EF4-FFF2-40B4-BE49-F238E27FC236}">
              <a16:creationId xmlns:a16="http://schemas.microsoft.com/office/drawing/2014/main" id="{00000000-0008-0000-0000-00004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91" name="Line 527">
          <a:extLst>
            <a:ext uri="{FF2B5EF4-FFF2-40B4-BE49-F238E27FC236}">
              <a16:creationId xmlns:a16="http://schemas.microsoft.com/office/drawing/2014/main" id="{00000000-0008-0000-0000-00004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92" name="Line 528">
          <a:extLst>
            <a:ext uri="{FF2B5EF4-FFF2-40B4-BE49-F238E27FC236}">
              <a16:creationId xmlns:a16="http://schemas.microsoft.com/office/drawing/2014/main" id="{00000000-0008-0000-0000-00004843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93" name="Line 529">
          <a:extLst>
            <a:ext uri="{FF2B5EF4-FFF2-40B4-BE49-F238E27FC236}">
              <a16:creationId xmlns:a16="http://schemas.microsoft.com/office/drawing/2014/main" id="{00000000-0008-0000-0000-00004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94" name="Line 530">
          <a:extLst>
            <a:ext uri="{FF2B5EF4-FFF2-40B4-BE49-F238E27FC236}">
              <a16:creationId xmlns:a16="http://schemas.microsoft.com/office/drawing/2014/main" id="{00000000-0008-0000-0000-00004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95" name="Line 531">
          <a:extLst>
            <a:ext uri="{FF2B5EF4-FFF2-40B4-BE49-F238E27FC236}">
              <a16:creationId xmlns:a16="http://schemas.microsoft.com/office/drawing/2014/main" id="{00000000-0008-0000-0000-00004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96" name="Line 532">
          <a:extLst>
            <a:ext uri="{FF2B5EF4-FFF2-40B4-BE49-F238E27FC236}">
              <a16:creationId xmlns:a16="http://schemas.microsoft.com/office/drawing/2014/main" id="{00000000-0008-0000-0000-00004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97" name="Line 533">
          <a:extLst>
            <a:ext uri="{FF2B5EF4-FFF2-40B4-BE49-F238E27FC236}">
              <a16:creationId xmlns:a16="http://schemas.microsoft.com/office/drawing/2014/main" id="{00000000-0008-0000-0000-00004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598" name="Line 534">
          <a:extLst>
            <a:ext uri="{FF2B5EF4-FFF2-40B4-BE49-F238E27FC236}">
              <a16:creationId xmlns:a16="http://schemas.microsoft.com/office/drawing/2014/main" id="{00000000-0008-0000-0000-00004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599" name="Line 535">
          <a:extLst>
            <a:ext uri="{FF2B5EF4-FFF2-40B4-BE49-F238E27FC236}">
              <a16:creationId xmlns:a16="http://schemas.microsoft.com/office/drawing/2014/main" id="{00000000-0008-0000-0000-00004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00" name="Line 536">
          <a:extLst>
            <a:ext uri="{FF2B5EF4-FFF2-40B4-BE49-F238E27FC236}">
              <a16:creationId xmlns:a16="http://schemas.microsoft.com/office/drawing/2014/main" id="{00000000-0008-0000-0000-00005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01" name="Line 537">
          <a:extLst>
            <a:ext uri="{FF2B5EF4-FFF2-40B4-BE49-F238E27FC236}">
              <a16:creationId xmlns:a16="http://schemas.microsoft.com/office/drawing/2014/main" id="{00000000-0008-0000-0000-00005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02" name="Line 538">
          <a:extLst>
            <a:ext uri="{FF2B5EF4-FFF2-40B4-BE49-F238E27FC236}">
              <a16:creationId xmlns:a16="http://schemas.microsoft.com/office/drawing/2014/main" id="{00000000-0008-0000-0000-00005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03" name="Line 539">
          <a:extLst>
            <a:ext uri="{FF2B5EF4-FFF2-40B4-BE49-F238E27FC236}">
              <a16:creationId xmlns:a16="http://schemas.microsoft.com/office/drawing/2014/main" id="{00000000-0008-0000-0000-00005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04" name="Line 540">
          <a:extLst>
            <a:ext uri="{FF2B5EF4-FFF2-40B4-BE49-F238E27FC236}">
              <a16:creationId xmlns:a16="http://schemas.microsoft.com/office/drawing/2014/main" id="{00000000-0008-0000-0000-00005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05" name="Line 541">
          <a:extLst>
            <a:ext uri="{FF2B5EF4-FFF2-40B4-BE49-F238E27FC236}">
              <a16:creationId xmlns:a16="http://schemas.microsoft.com/office/drawing/2014/main" id="{00000000-0008-0000-0000-00005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06" name="Line 542">
          <a:extLst>
            <a:ext uri="{FF2B5EF4-FFF2-40B4-BE49-F238E27FC236}">
              <a16:creationId xmlns:a16="http://schemas.microsoft.com/office/drawing/2014/main" id="{00000000-0008-0000-0000-00005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07" name="Line 543">
          <a:extLst>
            <a:ext uri="{FF2B5EF4-FFF2-40B4-BE49-F238E27FC236}">
              <a16:creationId xmlns:a16="http://schemas.microsoft.com/office/drawing/2014/main" id="{00000000-0008-0000-0000-00005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08" name="Line 544">
          <a:extLst>
            <a:ext uri="{FF2B5EF4-FFF2-40B4-BE49-F238E27FC236}">
              <a16:creationId xmlns:a16="http://schemas.microsoft.com/office/drawing/2014/main" id="{00000000-0008-0000-0000-00005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09" name="Line 545">
          <a:extLst>
            <a:ext uri="{FF2B5EF4-FFF2-40B4-BE49-F238E27FC236}">
              <a16:creationId xmlns:a16="http://schemas.microsoft.com/office/drawing/2014/main" id="{00000000-0008-0000-0000-00005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10" name="Line 546">
          <a:extLst>
            <a:ext uri="{FF2B5EF4-FFF2-40B4-BE49-F238E27FC236}">
              <a16:creationId xmlns:a16="http://schemas.microsoft.com/office/drawing/2014/main" id="{00000000-0008-0000-0000-00005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11" name="Line 547">
          <a:extLst>
            <a:ext uri="{FF2B5EF4-FFF2-40B4-BE49-F238E27FC236}">
              <a16:creationId xmlns:a16="http://schemas.microsoft.com/office/drawing/2014/main" id="{00000000-0008-0000-0000-00005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12" name="Line 548">
          <a:extLst>
            <a:ext uri="{FF2B5EF4-FFF2-40B4-BE49-F238E27FC236}">
              <a16:creationId xmlns:a16="http://schemas.microsoft.com/office/drawing/2014/main" id="{00000000-0008-0000-0000-00005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13" name="Line 549">
          <a:extLst>
            <a:ext uri="{FF2B5EF4-FFF2-40B4-BE49-F238E27FC236}">
              <a16:creationId xmlns:a16="http://schemas.microsoft.com/office/drawing/2014/main" id="{00000000-0008-0000-0000-00005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14" name="Line 550">
          <a:extLst>
            <a:ext uri="{FF2B5EF4-FFF2-40B4-BE49-F238E27FC236}">
              <a16:creationId xmlns:a16="http://schemas.microsoft.com/office/drawing/2014/main" id="{00000000-0008-0000-0000-00005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15" name="Line 551">
          <a:extLst>
            <a:ext uri="{FF2B5EF4-FFF2-40B4-BE49-F238E27FC236}">
              <a16:creationId xmlns:a16="http://schemas.microsoft.com/office/drawing/2014/main" id="{00000000-0008-0000-0000-00005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16" name="Line 552">
          <a:extLst>
            <a:ext uri="{FF2B5EF4-FFF2-40B4-BE49-F238E27FC236}">
              <a16:creationId xmlns:a16="http://schemas.microsoft.com/office/drawing/2014/main" id="{00000000-0008-0000-0000-00006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17" name="Line 553">
          <a:extLst>
            <a:ext uri="{FF2B5EF4-FFF2-40B4-BE49-F238E27FC236}">
              <a16:creationId xmlns:a16="http://schemas.microsoft.com/office/drawing/2014/main" id="{00000000-0008-0000-0000-00006143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18" name="Line 554">
          <a:extLst>
            <a:ext uri="{FF2B5EF4-FFF2-40B4-BE49-F238E27FC236}">
              <a16:creationId xmlns:a16="http://schemas.microsoft.com/office/drawing/2014/main" id="{00000000-0008-0000-0000-00006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19" name="Line 555">
          <a:extLst>
            <a:ext uri="{FF2B5EF4-FFF2-40B4-BE49-F238E27FC236}">
              <a16:creationId xmlns:a16="http://schemas.microsoft.com/office/drawing/2014/main" id="{00000000-0008-0000-0000-00006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20" name="Line 556">
          <a:extLst>
            <a:ext uri="{FF2B5EF4-FFF2-40B4-BE49-F238E27FC236}">
              <a16:creationId xmlns:a16="http://schemas.microsoft.com/office/drawing/2014/main" id="{00000000-0008-0000-0000-00006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21" name="Line 557">
          <a:extLst>
            <a:ext uri="{FF2B5EF4-FFF2-40B4-BE49-F238E27FC236}">
              <a16:creationId xmlns:a16="http://schemas.microsoft.com/office/drawing/2014/main" id="{00000000-0008-0000-0000-00006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22" name="Line 558">
          <a:extLst>
            <a:ext uri="{FF2B5EF4-FFF2-40B4-BE49-F238E27FC236}">
              <a16:creationId xmlns:a16="http://schemas.microsoft.com/office/drawing/2014/main" id="{00000000-0008-0000-0000-00006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23" name="Line 559">
          <a:extLst>
            <a:ext uri="{FF2B5EF4-FFF2-40B4-BE49-F238E27FC236}">
              <a16:creationId xmlns:a16="http://schemas.microsoft.com/office/drawing/2014/main" id="{00000000-0008-0000-0000-00006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24" name="Line 560">
          <a:extLst>
            <a:ext uri="{FF2B5EF4-FFF2-40B4-BE49-F238E27FC236}">
              <a16:creationId xmlns:a16="http://schemas.microsoft.com/office/drawing/2014/main" id="{00000000-0008-0000-0000-00006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25" name="Line 561">
          <a:extLst>
            <a:ext uri="{FF2B5EF4-FFF2-40B4-BE49-F238E27FC236}">
              <a16:creationId xmlns:a16="http://schemas.microsoft.com/office/drawing/2014/main" id="{00000000-0008-0000-0000-00006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26" name="Line 562">
          <a:extLst>
            <a:ext uri="{FF2B5EF4-FFF2-40B4-BE49-F238E27FC236}">
              <a16:creationId xmlns:a16="http://schemas.microsoft.com/office/drawing/2014/main" id="{00000000-0008-0000-0000-00006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27" name="Line 563">
          <a:extLst>
            <a:ext uri="{FF2B5EF4-FFF2-40B4-BE49-F238E27FC236}">
              <a16:creationId xmlns:a16="http://schemas.microsoft.com/office/drawing/2014/main" id="{00000000-0008-0000-0000-00006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28" name="Line 564">
          <a:extLst>
            <a:ext uri="{FF2B5EF4-FFF2-40B4-BE49-F238E27FC236}">
              <a16:creationId xmlns:a16="http://schemas.microsoft.com/office/drawing/2014/main" id="{00000000-0008-0000-0000-00006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29" name="Line 565">
          <a:extLst>
            <a:ext uri="{FF2B5EF4-FFF2-40B4-BE49-F238E27FC236}">
              <a16:creationId xmlns:a16="http://schemas.microsoft.com/office/drawing/2014/main" id="{00000000-0008-0000-0000-00006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30" name="Line 566">
          <a:extLst>
            <a:ext uri="{FF2B5EF4-FFF2-40B4-BE49-F238E27FC236}">
              <a16:creationId xmlns:a16="http://schemas.microsoft.com/office/drawing/2014/main" id="{00000000-0008-0000-0000-00006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31" name="Line 567">
          <a:extLst>
            <a:ext uri="{FF2B5EF4-FFF2-40B4-BE49-F238E27FC236}">
              <a16:creationId xmlns:a16="http://schemas.microsoft.com/office/drawing/2014/main" id="{00000000-0008-0000-0000-00006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32" name="Line 568">
          <a:extLst>
            <a:ext uri="{FF2B5EF4-FFF2-40B4-BE49-F238E27FC236}">
              <a16:creationId xmlns:a16="http://schemas.microsoft.com/office/drawing/2014/main" id="{00000000-0008-0000-0000-00007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33" name="Line 569">
          <a:extLst>
            <a:ext uri="{FF2B5EF4-FFF2-40B4-BE49-F238E27FC236}">
              <a16:creationId xmlns:a16="http://schemas.microsoft.com/office/drawing/2014/main" id="{00000000-0008-0000-0000-00007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34" name="Line 570">
          <a:extLst>
            <a:ext uri="{FF2B5EF4-FFF2-40B4-BE49-F238E27FC236}">
              <a16:creationId xmlns:a16="http://schemas.microsoft.com/office/drawing/2014/main" id="{00000000-0008-0000-0000-00007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35" name="Line 571">
          <a:extLst>
            <a:ext uri="{FF2B5EF4-FFF2-40B4-BE49-F238E27FC236}">
              <a16:creationId xmlns:a16="http://schemas.microsoft.com/office/drawing/2014/main" id="{00000000-0008-0000-0000-00007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36" name="Line 572">
          <a:extLst>
            <a:ext uri="{FF2B5EF4-FFF2-40B4-BE49-F238E27FC236}">
              <a16:creationId xmlns:a16="http://schemas.microsoft.com/office/drawing/2014/main" id="{00000000-0008-0000-0000-00007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37" name="Line 573">
          <a:extLst>
            <a:ext uri="{FF2B5EF4-FFF2-40B4-BE49-F238E27FC236}">
              <a16:creationId xmlns:a16="http://schemas.microsoft.com/office/drawing/2014/main" id="{00000000-0008-0000-0000-00007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38" name="Line 574">
          <a:extLst>
            <a:ext uri="{FF2B5EF4-FFF2-40B4-BE49-F238E27FC236}">
              <a16:creationId xmlns:a16="http://schemas.microsoft.com/office/drawing/2014/main" id="{00000000-0008-0000-0000-00007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39" name="Line 575">
          <a:extLst>
            <a:ext uri="{FF2B5EF4-FFF2-40B4-BE49-F238E27FC236}">
              <a16:creationId xmlns:a16="http://schemas.microsoft.com/office/drawing/2014/main" id="{00000000-0008-0000-0000-00007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40" name="Line 576">
          <a:extLst>
            <a:ext uri="{FF2B5EF4-FFF2-40B4-BE49-F238E27FC236}">
              <a16:creationId xmlns:a16="http://schemas.microsoft.com/office/drawing/2014/main" id="{00000000-0008-0000-0000-00007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41" name="Line 577">
          <a:extLst>
            <a:ext uri="{FF2B5EF4-FFF2-40B4-BE49-F238E27FC236}">
              <a16:creationId xmlns:a16="http://schemas.microsoft.com/office/drawing/2014/main" id="{00000000-0008-0000-0000-00007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42" name="Line 578">
          <a:extLst>
            <a:ext uri="{FF2B5EF4-FFF2-40B4-BE49-F238E27FC236}">
              <a16:creationId xmlns:a16="http://schemas.microsoft.com/office/drawing/2014/main" id="{00000000-0008-0000-0000-00007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43" name="Line 579">
          <a:extLst>
            <a:ext uri="{FF2B5EF4-FFF2-40B4-BE49-F238E27FC236}">
              <a16:creationId xmlns:a16="http://schemas.microsoft.com/office/drawing/2014/main" id="{00000000-0008-0000-0000-00007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44" name="Line 580">
          <a:extLst>
            <a:ext uri="{FF2B5EF4-FFF2-40B4-BE49-F238E27FC236}">
              <a16:creationId xmlns:a16="http://schemas.microsoft.com/office/drawing/2014/main" id="{00000000-0008-0000-0000-00007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45" name="Line 581">
          <a:extLst>
            <a:ext uri="{FF2B5EF4-FFF2-40B4-BE49-F238E27FC236}">
              <a16:creationId xmlns:a16="http://schemas.microsoft.com/office/drawing/2014/main" id="{00000000-0008-0000-0000-00007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46" name="Line 582">
          <a:extLst>
            <a:ext uri="{FF2B5EF4-FFF2-40B4-BE49-F238E27FC236}">
              <a16:creationId xmlns:a16="http://schemas.microsoft.com/office/drawing/2014/main" id="{00000000-0008-0000-0000-00007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47" name="Line 583">
          <a:extLst>
            <a:ext uri="{FF2B5EF4-FFF2-40B4-BE49-F238E27FC236}">
              <a16:creationId xmlns:a16="http://schemas.microsoft.com/office/drawing/2014/main" id="{00000000-0008-0000-0000-00007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48" name="Line 584">
          <a:extLst>
            <a:ext uri="{FF2B5EF4-FFF2-40B4-BE49-F238E27FC236}">
              <a16:creationId xmlns:a16="http://schemas.microsoft.com/office/drawing/2014/main" id="{00000000-0008-0000-0000-00008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49" name="Line 585">
          <a:extLst>
            <a:ext uri="{FF2B5EF4-FFF2-40B4-BE49-F238E27FC236}">
              <a16:creationId xmlns:a16="http://schemas.microsoft.com/office/drawing/2014/main" id="{00000000-0008-0000-0000-00008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50" name="Line 586">
          <a:extLst>
            <a:ext uri="{FF2B5EF4-FFF2-40B4-BE49-F238E27FC236}">
              <a16:creationId xmlns:a16="http://schemas.microsoft.com/office/drawing/2014/main" id="{00000000-0008-0000-0000-00008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51" name="Line 587">
          <a:extLst>
            <a:ext uri="{FF2B5EF4-FFF2-40B4-BE49-F238E27FC236}">
              <a16:creationId xmlns:a16="http://schemas.microsoft.com/office/drawing/2014/main" id="{00000000-0008-0000-0000-00008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52" name="Line 588">
          <a:extLst>
            <a:ext uri="{FF2B5EF4-FFF2-40B4-BE49-F238E27FC236}">
              <a16:creationId xmlns:a16="http://schemas.microsoft.com/office/drawing/2014/main" id="{00000000-0008-0000-0000-00008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53" name="Line 589">
          <a:extLst>
            <a:ext uri="{FF2B5EF4-FFF2-40B4-BE49-F238E27FC236}">
              <a16:creationId xmlns:a16="http://schemas.microsoft.com/office/drawing/2014/main" id="{00000000-0008-0000-0000-00008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54" name="Line 590">
          <a:extLst>
            <a:ext uri="{FF2B5EF4-FFF2-40B4-BE49-F238E27FC236}">
              <a16:creationId xmlns:a16="http://schemas.microsoft.com/office/drawing/2014/main" id="{00000000-0008-0000-0000-00008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55" name="Line 591">
          <a:extLst>
            <a:ext uri="{FF2B5EF4-FFF2-40B4-BE49-F238E27FC236}">
              <a16:creationId xmlns:a16="http://schemas.microsoft.com/office/drawing/2014/main" id="{00000000-0008-0000-0000-00008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56" name="Line 592">
          <a:extLst>
            <a:ext uri="{FF2B5EF4-FFF2-40B4-BE49-F238E27FC236}">
              <a16:creationId xmlns:a16="http://schemas.microsoft.com/office/drawing/2014/main" id="{00000000-0008-0000-0000-00008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57" name="Line 593">
          <a:extLst>
            <a:ext uri="{FF2B5EF4-FFF2-40B4-BE49-F238E27FC236}">
              <a16:creationId xmlns:a16="http://schemas.microsoft.com/office/drawing/2014/main" id="{00000000-0008-0000-0000-00008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58" name="Line 594">
          <a:extLst>
            <a:ext uri="{FF2B5EF4-FFF2-40B4-BE49-F238E27FC236}">
              <a16:creationId xmlns:a16="http://schemas.microsoft.com/office/drawing/2014/main" id="{00000000-0008-0000-0000-00008A43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59" name="Line 595">
          <a:extLst>
            <a:ext uri="{FF2B5EF4-FFF2-40B4-BE49-F238E27FC236}">
              <a16:creationId xmlns:a16="http://schemas.microsoft.com/office/drawing/2014/main" id="{00000000-0008-0000-0000-00008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60" name="Line 596">
          <a:extLst>
            <a:ext uri="{FF2B5EF4-FFF2-40B4-BE49-F238E27FC236}">
              <a16:creationId xmlns:a16="http://schemas.microsoft.com/office/drawing/2014/main" id="{00000000-0008-0000-0000-00008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61" name="Line 597">
          <a:extLst>
            <a:ext uri="{FF2B5EF4-FFF2-40B4-BE49-F238E27FC236}">
              <a16:creationId xmlns:a16="http://schemas.microsoft.com/office/drawing/2014/main" id="{00000000-0008-0000-0000-00008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62" name="Line 598">
          <a:extLst>
            <a:ext uri="{FF2B5EF4-FFF2-40B4-BE49-F238E27FC236}">
              <a16:creationId xmlns:a16="http://schemas.microsoft.com/office/drawing/2014/main" id="{00000000-0008-0000-0000-00008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63" name="Line 599">
          <a:extLst>
            <a:ext uri="{FF2B5EF4-FFF2-40B4-BE49-F238E27FC236}">
              <a16:creationId xmlns:a16="http://schemas.microsoft.com/office/drawing/2014/main" id="{00000000-0008-0000-0000-00008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64" name="Line 600">
          <a:extLst>
            <a:ext uri="{FF2B5EF4-FFF2-40B4-BE49-F238E27FC236}">
              <a16:creationId xmlns:a16="http://schemas.microsoft.com/office/drawing/2014/main" id="{00000000-0008-0000-0000-00009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65" name="Line 601">
          <a:extLst>
            <a:ext uri="{FF2B5EF4-FFF2-40B4-BE49-F238E27FC236}">
              <a16:creationId xmlns:a16="http://schemas.microsoft.com/office/drawing/2014/main" id="{00000000-0008-0000-0000-00009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66" name="Line 602">
          <a:extLst>
            <a:ext uri="{FF2B5EF4-FFF2-40B4-BE49-F238E27FC236}">
              <a16:creationId xmlns:a16="http://schemas.microsoft.com/office/drawing/2014/main" id="{00000000-0008-0000-0000-00009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67" name="Line 603">
          <a:extLst>
            <a:ext uri="{FF2B5EF4-FFF2-40B4-BE49-F238E27FC236}">
              <a16:creationId xmlns:a16="http://schemas.microsoft.com/office/drawing/2014/main" id="{00000000-0008-0000-0000-00009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68" name="Line 604">
          <a:extLst>
            <a:ext uri="{FF2B5EF4-FFF2-40B4-BE49-F238E27FC236}">
              <a16:creationId xmlns:a16="http://schemas.microsoft.com/office/drawing/2014/main" id="{00000000-0008-0000-0000-00009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69" name="Line 605">
          <a:extLst>
            <a:ext uri="{FF2B5EF4-FFF2-40B4-BE49-F238E27FC236}">
              <a16:creationId xmlns:a16="http://schemas.microsoft.com/office/drawing/2014/main" id="{00000000-0008-0000-0000-00009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70" name="Line 606">
          <a:extLst>
            <a:ext uri="{FF2B5EF4-FFF2-40B4-BE49-F238E27FC236}">
              <a16:creationId xmlns:a16="http://schemas.microsoft.com/office/drawing/2014/main" id="{00000000-0008-0000-0000-00009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71" name="Line 607">
          <a:extLst>
            <a:ext uri="{FF2B5EF4-FFF2-40B4-BE49-F238E27FC236}">
              <a16:creationId xmlns:a16="http://schemas.microsoft.com/office/drawing/2014/main" id="{00000000-0008-0000-0000-00009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72" name="Line 608">
          <a:extLst>
            <a:ext uri="{FF2B5EF4-FFF2-40B4-BE49-F238E27FC236}">
              <a16:creationId xmlns:a16="http://schemas.microsoft.com/office/drawing/2014/main" id="{00000000-0008-0000-0000-00009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73" name="Line 609">
          <a:extLst>
            <a:ext uri="{FF2B5EF4-FFF2-40B4-BE49-F238E27FC236}">
              <a16:creationId xmlns:a16="http://schemas.microsoft.com/office/drawing/2014/main" id="{00000000-0008-0000-0000-00009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74" name="Line 610">
          <a:extLst>
            <a:ext uri="{FF2B5EF4-FFF2-40B4-BE49-F238E27FC236}">
              <a16:creationId xmlns:a16="http://schemas.microsoft.com/office/drawing/2014/main" id="{00000000-0008-0000-0000-00009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75" name="Line 611">
          <a:extLst>
            <a:ext uri="{FF2B5EF4-FFF2-40B4-BE49-F238E27FC236}">
              <a16:creationId xmlns:a16="http://schemas.microsoft.com/office/drawing/2014/main" id="{00000000-0008-0000-0000-00009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76" name="Line 612">
          <a:extLst>
            <a:ext uri="{FF2B5EF4-FFF2-40B4-BE49-F238E27FC236}">
              <a16:creationId xmlns:a16="http://schemas.microsoft.com/office/drawing/2014/main" id="{00000000-0008-0000-0000-00009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77" name="Line 613">
          <a:extLst>
            <a:ext uri="{FF2B5EF4-FFF2-40B4-BE49-F238E27FC236}">
              <a16:creationId xmlns:a16="http://schemas.microsoft.com/office/drawing/2014/main" id="{00000000-0008-0000-0000-00009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78" name="Line 614">
          <a:extLst>
            <a:ext uri="{FF2B5EF4-FFF2-40B4-BE49-F238E27FC236}">
              <a16:creationId xmlns:a16="http://schemas.microsoft.com/office/drawing/2014/main" id="{00000000-0008-0000-0000-00009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79" name="Line 615">
          <a:extLst>
            <a:ext uri="{FF2B5EF4-FFF2-40B4-BE49-F238E27FC236}">
              <a16:creationId xmlns:a16="http://schemas.microsoft.com/office/drawing/2014/main" id="{00000000-0008-0000-0000-00009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80" name="Line 616">
          <a:extLst>
            <a:ext uri="{FF2B5EF4-FFF2-40B4-BE49-F238E27FC236}">
              <a16:creationId xmlns:a16="http://schemas.microsoft.com/office/drawing/2014/main" id="{00000000-0008-0000-0000-0000A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81" name="Line 617">
          <a:extLst>
            <a:ext uri="{FF2B5EF4-FFF2-40B4-BE49-F238E27FC236}">
              <a16:creationId xmlns:a16="http://schemas.microsoft.com/office/drawing/2014/main" id="{00000000-0008-0000-0000-0000A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82" name="Line 618">
          <a:extLst>
            <a:ext uri="{FF2B5EF4-FFF2-40B4-BE49-F238E27FC236}">
              <a16:creationId xmlns:a16="http://schemas.microsoft.com/office/drawing/2014/main" id="{00000000-0008-0000-0000-0000A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83" name="Line 619">
          <a:extLst>
            <a:ext uri="{FF2B5EF4-FFF2-40B4-BE49-F238E27FC236}">
              <a16:creationId xmlns:a16="http://schemas.microsoft.com/office/drawing/2014/main" id="{00000000-0008-0000-0000-0000A343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84" name="Line 620">
          <a:extLst>
            <a:ext uri="{FF2B5EF4-FFF2-40B4-BE49-F238E27FC236}">
              <a16:creationId xmlns:a16="http://schemas.microsoft.com/office/drawing/2014/main" id="{00000000-0008-0000-0000-0000A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85" name="Line 621">
          <a:extLst>
            <a:ext uri="{FF2B5EF4-FFF2-40B4-BE49-F238E27FC236}">
              <a16:creationId xmlns:a16="http://schemas.microsoft.com/office/drawing/2014/main" id="{00000000-0008-0000-0000-0000A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86" name="Line 622">
          <a:extLst>
            <a:ext uri="{FF2B5EF4-FFF2-40B4-BE49-F238E27FC236}">
              <a16:creationId xmlns:a16="http://schemas.microsoft.com/office/drawing/2014/main" id="{00000000-0008-0000-0000-0000A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87" name="Line 623">
          <a:extLst>
            <a:ext uri="{FF2B5EF4-FFF2-40B4-BE49-F238E27FC236}">
              <a16:creationId xmlns:a16="http://schemas.microsoft.com/office/drawing/2014/main" id="{00000000-0008-0000-0000-0000A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88" name="Line 624">
          <a:extLst>
            <a:ext uri="{FF2B5EF4-FFF2-40B4-BE49-F238E27FC236}">
              <a16:creationId xmlns:a16="http://schemas.microsoft.com/office/drawing/2014/main" id="{00000000-0008-0000-0000-0000A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89" name="Line 625">
          <a:extLst>
            <a:ext uri="{FF2B5EF4-FFF2-40B4-BE49-F238E27FC236}">
              <a16:creationId xmlns:a16="http://schemas.microsoft.com/office/drawing/2014/main" id="{00000000-0008-0000-0000-0000A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90" name="Line 626">
          <a:extLst>
            <a:ext uri="{FF2B5EF4-FFF2-40B4-BE49-F238E27FC236}">
              <a16:creationId xmlns:a16="http://schemas.microsoft.com/office/drawing/2014/main" id="{00000000-0008-0000-0000-0000A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91" name="Line 627">
          <a:extLst>
            <a:ext uri="{FF2B5EF4-FFF2-40B4-BE49-F238E27FC236}">
              <a16:creationId xmlns:a16="http://schemas.microsoft.com/office/drawing/2014/main" id="{00000000-0008-0000-0000-0000A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92" name="Line 628">
          <a:extLst>
            <a:ext uri="{FF2B5EF4-FFF2-40B4-BE49-F238E27FC236}">
              <a16:creationId xmlns:a16="http://schemas.microsoft.com/office/drawing/2014/main" id="{00000000-0008-0000-0000-0000A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93" name="Line 629">
          <a:extLst>
            <a:ext uri="{FF2B5EF4-FFF2-40B4-BE49-F238E27FC236}">
              <a16:creationId xmlns:a16="http://schemas.microsoft.com/office/drawing/2014/main" id="{00000000-0008-0000-0000-0000A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94" name="Line 630">
          <a:extLst>
            <a:ext uri="{FF2B5EF4-FFF2-40B4-BE49-F238E27FC236}">
              <a16:creationId xmlns:a16="http://schemas.microsoft.com/office/drawing/2014/main" id="{00000000-0008-0000-0000-0000A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95" name="Line 631">
          <a:extLst>
            <a:ext uri="{FF2B5EF4-FFF2-40B4-BE49-F238E27FC236}">
              <a16:creationId xmlns:a16="http://schemas.microsoft.com/office/drawing/2014/main" id="{00000000-0008-0000-0000-0000A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96" name="Line 632">
          <a:extLst>
            <a:ext uri="{FF2B5EF4-FFF2-40B4-BE49-F238E27FC236}">
              <a16:creationId xmlns:a16="http://schemas.microsoft.com/office/drawing/2014/main" id="{00000000-0008-0000-0000-0000B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697" name="Line 633">
          <a:extLst>
            <a:ext uri="{FF2B5EF4-FFF2-40B4-BE49-F238E27FC236}">
              <a16:creationId xmlns:a16="http://schemas.microsoft.com/office/drawing/2014/main" id="{00000000-0008-0000-0000-0000B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98" name="Line 634">
          <a:extLst>
            <a:ext uri="{FF2B5EF4-FFF2-40B4-BE49-F238E27FC236}">
              <a16:creationId xmlns:a16="http://schemas.microsoft.com/office/drawing/2014/main" id="{00000000-0008-0000-0000-0000B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699" name="Line 635">
          <a:extLst>
            <a:ext uri="{FF2B5EF4-FFF2-40B4-BE49-F238E27FC236}">
              <a16:creationId xmlns:a16="http://schemas.microsoft.com/office/drawing/2014/main" id="{00000000-0008-0000-0000-0000B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00" name="Line 636">
          <a:extLst>
            <a:ext uri="{FF2B5EF4-FFF2-40B4-BE49-F238E27FC236}">
              <a16:creationId xmlns:a16="http://schemas.microsoft.com/office/drawing/2014/main" id="{00000000-0008-0000-0000-0000B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01" name="Line 637">
          <a:extLst>
            <a:ext uri="{FF2B5EF4-FFF2-40B4-BE49-F238E27FC236}">
              <a16:creationId xmlns:a16="http://schemas.microsoft.com/office/drawing/2014/main" id="{00000000-0008-0000-0000-0000B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02" name="Line 638">
          <a:extLst>
            <a:ext uri="{FF2B5EF4-FFF2-40B4-BE49-F238E27FC236}">
              <a16:creationId xmlns:a16="http://schemas.microsoft.com/office/drawing/2014/main" id="{00000000-0008-0000-0000-0000B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03" name="Line 639">
          <a:extLst>
            <a:ext uri="{FF2B5EF4-FFF2-40B4-BE49-F238E27FC236}">
              <a16:creationId xmlns:a16="http://schemas.microsoft.com/office/drawing/2014/main" id="{00000000-0008-0000-0000-0000B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04" name="Line 640">
          <a:extLst>
            <a:ext uri="{FF2B5EF4-FFF2-40B4-BE49-F238E27FC236}">
              <a16:creationId xmlns:a16="http://schemas.microsoft.com/office/drawing/2014/main" id="{00000000-0008-0000-0000-0000B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05" name="Line 641">
          <a:extLst>
            <a:ext uri="{FF2B5EF4-FFF2-40B4-BE49-F238E27FC236}">
              <a16:creationId xmlns:a16="http://schemas.microsoft.com/office/drawing/2014/main" id="{00000000-0008-0000-0000-0000B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06" name="Line 642">
          <a:extLst>
            <a:ext uri="{FF2B5EF4-FFF2-40B4-BE49-F238E27FC236}">
              <a16:creationId xmlns:a16="http://schemas.microsoft.com/office/drawing/2014/main" id="{00000000-0008-0000-0000-0000B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07" name="Line 643">
          <a:extLst>
            <a:ext uri="{FF2B5EF4-FFF2-40B4-BE49-F238E27FC236}">
              <a16:creationId xmlns:a16="http://schemas.microsoft.com/office/drawing/2014/main" id="{00000000-0008-0000-0000-0000B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08" name="Line 644">
          <a:extLst>
            <a:ext uri="{FF2B5EF4-FFF2-40B4-BE49-F238E27FC236}">
              <a16:creationId xmlns:a16="http://schemas.microsoft.com/office/drawing/2014/main" id="{00000000-0008-0000-0000-0000BC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09" name="Line 645">
          <a:extLst>
            <a:ext uri="{FF2B5EF4-FFF2-40B4-BE49-F238E27FC236}">
              <a16:creationId xmlns:a16="http://schemas.microsoft.com/office/drawing/2014/main" id="{00000000-0008-0000-0000-0000BD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10" name="Line 646">
          <a:extLst>
            <a:ext uri="{FF2B5EF4-FFF2-40B4-BE49-F238E27FC236}">
              <a16:creationId xmlns:a16="http://schemas.microsoft.com/office/drawing/2014/main" id="{00000000-0008-0000-0000-0000BE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11" name="Line 647">
          <a:extLst>
            <a:ext uri="{FF2B5EF4-FFF2-40B4-BE49-F238E27FC236}">
              <a16:creationId xmlns:a16="http://schemas.microsoft.com/office/drawing/2014/main" id="{00000000-0008-0000-0000-0000BF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12" name="Line 648">
          <a:extLst>
            <a:ext uri="{FF2B5EF4-FFF2-40B4-BE49-F238E27FC236}">
              <a16:creationId xmlns:a16="http://schemas.microsoft.com/office/drawing/2014/main" id="{00000000-0008-0000-0000-0000C0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13" name="Line 649">
          <a:extLst>
            <a:ext uri="{FF2B5EF4-FFF2-40B4-BE49-F238E27FC236}">
              <a16:creationId xmlns:a16="http://schemas.microsoft.com/office/drawing/2014/main" id="{00000000-0008-0000-0000-0000C1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14" name="Line 650">
          <a:extLst>
            <a:ext uri="{FF2B5EF4-FFF2-40B4-BE49-F238E27FC236}">
              <a16:creationId xmlns:a16="http://schemas.microsoft.com/office/drawing/2014/main" id="{00000000-0008-0000-0000-0000C2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15" name="Line 651">
          <a:extLst>
            <a:ext uri="{FF2B5EF4-FFF2-40B4-BE49-F238E27FC236}">
              <a16:creationId xmlns:a16="http://schemas.microsoft.com/office/drawing/2014/main" id="{00000000-0008-0000-0000-0000C3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16" name="Line 652">
          <a:extLst>
            <a:ext uri="{FF2B5EF4-FFF2-40B4-BE49-F238E27FC236}">
              <a16:creationId xmlns:a16="http://schemas.microsoft.com/office/drawing/2014/main" id="{00000000-0008-0000-0000-0000C4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17" name="Line 653">
          <a:extLst>
            <a:ext uri="{FF2B5EF4-FFF2-40B4-BE49-F238E27FC236}">
              <a16:creationId xmlns:a16="http://schemas.microsoft.com/office/drawing/2014/main" id="{00000000-0008-0000-0000-0000C5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18" name="Line 654">
          <a:extLst>
            <a:ext uri="{FF2B5EF4-FFF2-40B4-BE49-F238E27FC236}">
              <a16:creationId xmlns:a16="http://schemas.microsoft.com/office/drawing/2014/main" id="{00000000-0008-0000-0000-0000C6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19" name="Line 655">
          <a:extLst>
            <a:ext uri="{FF2B5EF4-FFF2-40B4-BE49-F238E27FC236}">
              <a16:creationId xmlns:a16="http://schemas.microsoft.com/office/drawing/2014/main" id="{00000000-0008-0000-0000-0000C7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20" name="Line 656">
          <a:extLst>
            <a:ext uri="{FF2B5EF4-FFF2-40B4-BE49-F238E27FC236}">
              <a16:creationId xmlns:a16="http://schemas.microsoft.com/office/drawing/2014/main" id="{00000000-0008-0000-0000-0000C8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21" name="Line 657">
          <a:extLst>
            <a:ext uri="{FF2B5EF4-FFF2-40B4-BE49-F238E27FC236}">
              <a16:creationId xmlns:a16="http://schemas.microsoft.com/office/drawing/2014/main" id="{00000000-0008-0000-0000-0000C9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22" name="Line 658">
          <a:extLst>
            <a:ext uri="{FF2B5EF4-FFF2-40B4-BE49-F238E27FC236}">
              <a16:creationId xmlns:a16="http://schemas.microsoft.com/office/drawing/2014/main" id="{00000000-0008-0000-0000-0000CA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507723" name="Line 659">
          <a:extLst>
            <a:ext uri="{FF2B5EF4-FFF2-40B4-BE49-F238E27FC236}">
              <a16:creationId xmlns:a16="http://schemas.microsoft.com/office/drawing/2014/main" id="{00000000-0008-0000-0000-0000CB4326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507724" name="Line 660">
          <a:extLst>
            <a:ext uri="{FF2B5EF4-FFF2-40B4-BE49-F238E27FC236}">
              <a16:creationId xmlns:a16="http://schemas.microsoft.com/office/drawing/2014/main" id="{00000000-0008-0000-0000-0000CC4326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49" name="Line 793">
          <a:extLst>
            <a:ext uri="{FF2B5EF4-FFF2-40B4-BE49-F238E27FC236}">
              <a16:creationId xmlns:a16="http://schemas.microsoft.com/office/drawing/2014/main" id="{00000000-0008-0000-0000-00005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50" name="Line 794">
          <a:extLst>
            <a:ext uri="{FF2B5EF4-FFF2-40B4-BE49-F238E27FC236}">
              <a16:creationId xmlns:a16="http://schemas.microsoft.com/office/drawing/2014/main" id="{00000000-0008-0000-0000-00005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51" name="Line 795">
          <a:extLst>
            <a:ext uri="{FF2B5EF4-FFF2-40B4-BE49-F238E27FC236}">
              <a16:creationId xmlns:a16="http://schemas.microsoft.com/office/drawing/2014/main" id="{00000000-0008-0000-0000-00005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52" name="Line 796">
          <a:extLst>
            <a:ext uri="{FF2B5EF4-FFF2-40B4-BE49-F238E27FC236}">
              <a16:creationId xmlns:a16="http://schemas.microsoft.com/office/drawing/2014/main" id="{00000000-0008-0000-0000-00005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53" name="Line 797">
          <a:extLst>
            <a:ext uri="{FF2B5EF4-FFF2-40B4-BE49-F238E27FC236}">
              <a16:creationId xmlns:a16="http://schemas.microsoft.com/office/drawing/2014/main" id="{00000000-0008-0000-0000-00005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54" name="Line 798">
          <a:extLst>
            <a:ext uri="{FF2B5EF4-FFF2-40B4-BE49-F238E27FC236}">
              <a16:creationId xmlns:a16="http://schemas.microsoft.com/office/drawing/2014/main" id="{00000000-0008-0000-0000-00005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55" name="Line 799">
          <a:extLst>
            <a:ext uri="{FF2B5EF4-FFF2-40B4-BE49-F238E27FC236}">
              <a16:creationId xmlns:a16="http://schemas.microsoft.com/office/drawing/2014/main" id="{00000000-0008-0000-0000-00005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56" name="Line 800">
          <a:extLst>
            <a:ext uri="{FF2B5EF4-FFF2-40B4-BE49-F238E27FC236}">
              <a16:creationId xmlns:a16="http://schemas.microsoft.com/office/drawing/2014/main" id="{00000000-0008-0000-0000-00005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57" name="Line 801">
          <a:extLst>
            <a:ext uri="{FF2B5EF4-FFF2-40B4-BE49-F238E27FC236}">
              <a16:creationId xmlns:a16="http://schemas.microsoft.com/office/drawing/2014/main" id="{00000000-0008-0000-0000-00005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58" name="Line 802">
          <a:extLst>
            <a:ext uri="{FF2B5EF4-FFF2-40B4-BE49-F238E27FC236}">
              <a16:creationId xmlns:a16="http://schemas.microsoft.com/office/drawing/2014/main" id="{00000000-0008-0000-0000-00005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59" name="Line 803">
          <a:extLst>
            <a:ext uri="{FF2B5EF4-FFF2-40B4-BE49-F238E27FC236}">
              <a16:creationId xmlns:a16="http://schemas.microsoft.com/office/drawing/2014/main" id="{00000000-0008-0000-0000-00005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60" name="Line 804">
          <a:extLst>
            <a:ext uri="{FF2B5EF4-FFF2-40B4-BE49-F238E27FC236}">
              <a16:creationId xmlns:a16="http://schemas.microsoft.com/office/drawing/2014/main" id="{00000000-0008-0000-0000-00005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61" name="Line 805">
          <a:extLst>
            <a:ext uri="{FF2B5EF4-FFF2-40B4-BE49-F238E27FC236}">
              <a16:creationId xmlns:a16="http://schemas.microsoft.com/office/drawing/2014/main" id="{00000000-0008-0000-0000-00005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62" name="Line 806">
          <a:extLst>
            <a:ext uri="{FF2B5EF4-FFF2-40B4-BE49-F238E27FC236}">
              <a16:creationId xmlns:a16="http://schemas.microsoft.com/office/drawing/2014/main" id="{00000000-0008-0000-0000-00005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63" name="Line 807">
          <a:extLst>
            <a:ext uri="{FF2B5EF4-FFF2-40B4-BE49-F238E27FC236}">
              <a16:creationId xmlns:a16="http://schemas.microsoft.com/office/drawing/2014/main" id="{00000000-0008-0000-0000-00005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64" name="Line 808">
          <a:extLst>
            <a:ext uri="{FF2B5EF4-FFF2-40B4-BE49-F238E27FC236}">
              <a16:creationId xmlns:a16="http://schemas.microsoft.com/office/drawing/2014/main" id="{00000000-0008-0000-0000-00006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65" name="Line 809">
          <a:extLst>
            <a:ext uri="{FF2B5EF4-FFF2-40B4-BE49-F238E27FC236}">
              <a16:creationId xmlns:a16="http://schemas.microsoft.com/office/drawing/2014/main" id="{00000000-0008-0000-0000-00006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66" name="Line 810">
          <a:extLst>
            <a:ext uri="{FF2B5EF4-FFF2-40B4-BE49-F238E27FC236}">
              <a16:creationId xmlns:a16="http://schemas.microsoft.com/office/drawing/2014/main" id="{00000000-0008-0000-0000-00006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67" name="Line 811">
          <a:extLst>
            <a:ext uri="{FF2B5EF4-FFF2-40B4-BE49-F238E27FC236}">
              <a16:creationId xmlns:a16="http://schemas.microsoft.com/office/drawing/2014/main" id="{00000000-0008-0000-0000-00006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68" name="Line 812">
          <a:extLst>
            <a:ext uri="{FF2B5EF4-FFF2-40B4-BE49-F238E27FC236}">
              <a16:creationId xmlns:a16="http://schemas.microsoft.com/office/drawing/2014/main" id="{00000000-0008-0000-0000-00006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69" name="Line 813">
          <a:extLst>
            <a:ext uri="{FF2B5EF4-FFF2-40B4-BE49-F238E27FC236}">
              <a16:creationId xmlns:a16="http://schemas.microsoft.com/office/drawing/2014/main" id="{00000000-0008-0000-0000-00006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70" name="Line 814">
          <a:extLst>
            <a:ext uri="{FF2B5EF4-FFF2-40B4-BE49-F238E27FC236}">
              <a16:creationId xmlns:a16="http://schemas.microsoft.com/office/drawing/2014/main" id="{00000000-0008-0000-0000-00006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71" name="Line 815">
          <a:extLst>
            <a:ext uri="{FF2B5EF4-FFF2-40B4-BE49-F238E27FC236}">
              <a16:creationId xmlns:a16="http://schemas.microsoft.com/office/drawing/2014/main" id="{00000000-0008-0000-0000-00006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72" name="Line 816">
          <a:extLst>
            <a:ext uri="{FF2B5EF4-FFF2-40B4-BE49-F238E27FC236}">
              <a16:creationId xmlns:a16="http://schemas.microsoft.com/office/drawing/2014/main" id="{00000000-0008-0000-0000-00006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73" name="Line 817">
          <a:extLst>
            <a:ext uri="{FF2B5EF4-FFF2-40B4-BE49-F238E27FC236}">
              <a16:creationId xmlns:a16="http://schemas.microsoft.com/office/drawing/2014/main" id="{00000000-0008-0000-0000-00006920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74" name="Line 818">
          <a:extLst>
            <a:ext uri="{FF2B5EF4-FFF2-40B4-BE49-F238E27FC236}">
              <a16:creationId xmlns:a16="http://schemas.microsoft.com/office/drawing/2014/main" id="{00000000-0008-0000-0000-00006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75" name="Line 819">
          <a:extLst>
            <a:ext uri="{FF2B5EF4-FFF2-40B4-BE49-F238E27FC236}">
              <a16:creationId xmlns:a16="http://schemas.microsoft.com/office/drawing/2014/main" id="{00000000-0008-0000-0000-00006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76" name="Line 820">
          <a:extLst>
            <a:ext uri="{FF2B5EF4-FFF2-40B4-BE49-F238E27FC236}">
              <a16:creationId xmlns:a16="http://schemas.microsoft.com/office/drawing/2014/main" id="{00000000-0008-0000-0000-00006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77" name="Line 821">
          <a:extLst>
            <a:ext uri="{FF2B5EF4-FFF2-40B4-BE49-F238E27FC236}">
              <a16:creationId xmlns:a16="http://schemas.microsoft.com/office/drawing/2014/main" id="{00000000-0008-0000-0000-00006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78" name="Line 822">
          <a:extLst>
            <a:ext uri="{FF2B5EF4-FFF2-40B4-BE49-F238E27FC236}">
              <a16:creationId xmlns:a16="http://schemas.microsoft.com/office/drawing/2014/main" id="{00000000-0008-0000-0000-00006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79" name="Line 823">
          <a:extLst>
            <a:ext uri="{FF2B5EF4-FFF2-40B4-BE49-F238E27FC236}">
              <a16:creationId xmlns:a16="http://schemas.microsoft.com/office/drawing/2014/main" id="{00000000-0008-0000-0000-00006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80" name="Line 824">
          <a:extLst>
            <a:ext uri="{FF2B5EF4-FFF2-40B4-BE49-F238E27FC236}">
              <a16:creationId xmlns:a16="http://schemas.microsoft.com/office/drawing/2014/main" id="{00000000-0008-0000-0000-00007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81" name="Line 825">
          <a:extLst>
            <a:ext uri="{FF2B5EF4-FFF2-40B4-BE49-F238E27FC236}">
              <a16:creationId xmlns:a16="http://schemas.microsoft.com/office/drawing/2014/main" id="{00000000-0008-0000-0000-00007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82" name="Line 826">
          <a:extLst>
            <a:ext uri="{FF2B5EF4-FFF2-40B4-BE49-F238E27FC236}">
              <a16:creationId xmlns:a16="http://schemas.microsoft.com/office/drawing/2014/main" id="{00000000-0008-0000-0000-00007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83" name="Line 827">
          <a:extLst>
            <a:ext uri="{FF2B5EF4-FFF2-40B4-BE49-F238E27FC236}">
              <a16:creationId xmlns:a16="http://schemas.microsoft.com/office/drawing/2014/main" id="{00000000-0008-0000-0000-00007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84" name="Line 828">
          <a:extLst>
            <a:ext uri="{FF2B5EF4-FFF2-40B4-BE49-F238E27FC236}">
              <a16:creationId xmlns:a16="http://schemas.microsoft.com/office/drawing/2014/main" id="{00000000-0008-0000-0000-00007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85" name="Line 829">
          <a:extLst>
            <a:ext uri="{FF2B5EF4-FFF2-40B4-BE49-F238E27FC236}">
              <a16:creationId xmlns:a16="http://schemas.microsoft.com/office/drawing/2014/main" id="{00000000-0008-0000-0000-00007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86" name="Line 830">
          <a:extLst>
            <a:ext uri="{FF2B5EF4-FFF2-40B4-BE49-F238E27FC236}">
              <a16:creationId xmlns:a16="http://schemas.microsoft.com/office/drawing/2014/main" id="{00000000-0008-0000-0000-00007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87" name="Line 831">
          <a:extLst>
            <a:ext uri="{FF2B5EF4-FFF2-40B4-BE49-F238E27FC236}">
              <a16:creationId xmlns:a16="http://schemas.microsoft.com/office/drawing/2014/main" id="{00000000-0008-0000-0000-00007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88" name="Line 832">
          <a:extLst>
            <a:ext uri="{FF2B5EF4-FFF2-40B4-BE49-F238E27FC236}">
              <a16:creationId xmlns:a16="http://schemas.microsoft.com/office/drawing/2014/main" id="{00000000-0008-0000-0000-00007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89" name="Line 833">
          <a:extLst>
            <a:ext uri="{FF2B5EF4-FFF2-40B4-BE49-F238E27FC236}">
              <a16:creationId xmlns:a16="http://schemas.microsoft.com/office/drawing/2014/main" id="{00000000-0008-0000-0000-00007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90" name="Line 834">
          <a:extLst>
            <a:ext uri="{FF2B5EF4-FFF2-40B4-BE49-F238E27FC236}">
              <a16:creationId xmlns:a16="http://schemas.microsoft.com/office/drawing/2014/main" id="{00000000-0008-0000-0000-00007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91" name="Line 835">
          <a:extLst>
            <a:ext uri="{FF2B5EF4-FFF2-40B4-BE49-F238E27FC236}">
              <a16:creationId xmlns:a16="http://schemas.microsoft.com/office/drawing/2014/main" id="{00000000-0008-0000-0000-00007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92" name="Line 836">
          <a:extLst>
            <a:ext uri="{FF2B5EF4-FFF2-40B4-BE49-F238E27FC236}">
              <a16:creationId xmlns:a16="http://schemas.microsoft.com/office/drawing/2014/main" id="{00000000-0008-0000-0000-00007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93" name="Line 837">
          <a:extLst>
            <a:ext uri="{FF2B5EF4-FFF2-40B4-BE49-F238E27FC236}">
              <a16:creationId xmlns:a16="http://schemas.microsoft.com/office/drawing/2014/main" id="{00000000-0008-0000-0000-00007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94" name="Line 838">
          <a:extLst>
            <a:ext uri="{FF2B5EF4-FFF2-40B4-BE49-F238E27FC236}">
              <a16:creationId xmlns:a16="http://schemas.microsoft.com/office/drawing/2014/main" id="{00000000-0008-0000-0000-00007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95" name="Line 839">
          <a:extLst>
            <a:ext uri="{FF2B5EF4-FFF2-40B4-BE49-F238E27FC236}">
              <a16:creationId xmlns:a16="http://schemas.microsoft.com/office/drawing/2014/main" id="{00000000-0008-0000-0000-00007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96" name="Line 840">
          <a:extLst>
            <a:ext uri="{FF2B5EF4-FFF2-40B4-BE49-F238E27FC236}">
              <a16:creationId xmlns:a16="http://schemas.microsoft.com/office/drawing/2014/main" id="{00000000-0008-0000-0000-00008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97" name="Line 841">
          <a:extLst>
            <a:ext uri="{FF2B5EF4-FFF2-40B4-BE49-F238E27FC236}">
              <a16:creationId xmlns:a16="http://schemas.microsoft.com/office/drawing/2014/main" id="{00000000-0008-0000-0000-00008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298" name="Line 842">
          <a:extLst>
            <a:ext uri="{FF2B5EF4-FFF2-40B4-BE49-F238E27FC236}">
              <a16:creationId xmlns:a16="http://schemas.microsoft.com/office/drawing/2014/main" id="{00000000-0008-0000-0000-00008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299" name="Line 843">
          <a:extLst>
            <a:ext uri="{FF2B5EF4-FFF2-40B4-BE49-F238E27FC236}">
              <a16:creationId xmlns:a16="http://schemas.microsoft.com/office/drawing/2014/main" id="{00000000-0008-0000-0000-00008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00" name="Line 844">
          <a:extLst>
            <a:ext uri="{FF2B5EF4-FFF2-40B4-BE49-F238E27FC236}">
              <a16:creationId xmlns:a16="http://schemas.microsoft.com/office/drawing/2014/main" id="{00000000-0008-0000-0000-00008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01" name="Line 845">
          <a:extLst>
            <a:ext uri="{FF2B5EF4-FFF2-40B4-BE49-F238E27FC236}">
              <a16:creationId xmlns:a16="http://schemas.microsoft.com/office/drawing/2014/main" id="{00000000-0008-0000-0000-00008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02" name="Line 846">
          <a:extLst>
            <a:ext uri="{FF2B5EF4-FFF2-40B4-BE49-F238E27FC236}">
              <a16:creationId xmlns:a16="http://schemas.microsoft.com/office/drawing/2014/main" id="{00000000-0008-0000-0000-00008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03" name="Line 847">
          <a:extLst>
            <a:ext uri="{FF2B5EF4-FFF2-40B4-BE49-F238E27FC236}">
              <a16:creationId xmlns:a16="http://schemas.microsoft.com/office/drawing/2014/main" id="{00000000-0008-0000-0000-00008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04" name="Line 848">
          <a:extLst>
            <a:ext uri="{FF2B5EF4-FFF2-40B4-BE49-F238E27FC236}">
              <a16:creationId xmlns:a16="http://schemas.microsoft.com/office/drawing/2014/main" id="{00000000-0008-0000-0000-00008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05" name="Line 849">
          <a:extLst>
            <a:ext uri="{FF2B5EF4-FFF2-40B4-BE49-F238E27FC236}">
              <a16:creationId xmlns:a16="http://schemas.microsoft.com/office/drawing/2014/main" id="{00000000-0008-0000-0000-00008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06" name="Line 850">
          <a:extLst>
            <a:ext uri="{FF2B5EF4-FFF2-40B4-BE49-F238E27FC236}">
              <a16:creationId xmlns:a16="http://schemas.microsoft.com/office/drawing/2014/main" id="{00000000-0008-0000-0000-00008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07" name="Line 851">
          <a:extLst>
            <a:ext uri="{FF2B5EF4-FFF2-40B4-BE49-F238E27FC236}">
              <a16:creationId xmlns:a16="http://schemas.microsoft.com/office/drawing/2014/main" id="{00000000-0008-0000-0000-00008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08" name="Line 852">
          <a:extLst>
            <a:ext uri="{FF2B5EF4-FFF2-40B4-BE49-F238E27FC236}">
              <a16:creationId xmlns:a16="http://schemas.microsoft.com/office/drawing/2014/main" id="{00000000-0008-0000-0000-00008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09" name="Line 853">
          <a:extLst>
            <a:ext uri="{FF2B5EF4-FFF2-40B4-BE49-F238E27FC236}">
              <a16:creationId xmlns:a16="http://schemas.microsoft.com/office/drawing/2014/main" id="{00000000-0008-0000-0000-00008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10" name="Line 854">
          <a:extLst>
            <a:ext uri="{FF2B5EF4-FFF2-40B4-BE49-F238E27FC236}">
              <a16:creationId xmlns:a16="http://schemas.microsoft.com/office/drawing/2014/main" id="{00000000-0008-0000-0000-00008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11" name="Line 855">
          <a:extLst>
            <a:ext uri="{FF2B5EF4-FFF2-40B4-BE49-F238E27FC236}">
              <a16:creationId xmlns:a16="http://schemas.microsoft.com/office/drawing/2014/main" id="{00000000-0008-0000-0000-00008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12" name="Line 856">
          <a:extLst>
            <a:ext uri="{FF2B5EF4-FFF2-40B4-BE49-F238E27FC236}">
              <a16:creationId xmlns:a16="http://schemas.microsoft.com/office/drawing/2014/main" id="{00000000-0008-0000-0000-00009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13" name="Line 857">
          <a:extLst>
            <a:ext uri="{FF2B5EF4-FFF2-40B4-BE49-F238E27FC236}">
              <a16:creationId xmlns:a16="http://schemas.microsoft.com/office/drawing/2014/main" id="{00000000-0008-0000-0000-00009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14" name="Line 858">
          <a:extLst>
            <a:ext uri="{FF2B5EF4-FFF2-40B4-BE49-F238E27FC236}">
              <a16:creationId xmlns:a16="http://schemas.microsoft.com/office/drawing/2014/main" id="{00000000-0008-0000-0000-00009220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15" name="Line 859">
          <a:extLst>
            <a:ext uri="{FF2B5EF4-FFF2-40B4-BE49-F238E27FC236}">
              <a16:creationId xmlns:a16="http://schemas.microsoft.com/office/drawing/2014/main" id="{00000000-0008-0000-0000-00009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16" name="Line 860">
          <a:extLst>
            <a:ext uri="{FF2B5EF4-FFF2-40B4-BE49-F238E27FC236}">
              <a16:creationId xmlns:a16="http://schemas.microsoft.com/office/drawing/2014/main" id="{00000000-0008-0000-0000-00009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17" name="Line 861">
          <a:extLst>
            <a:ext uri="{FF2B5EF4-FFF2-40B4-BE49-F238E27FC236}">
              <a16:creationId xmlns:a16="http://schemas.microsoft.com/office/drawing/2014/main" id="{00000000-0008-0000-0000-00009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18" name="Line 862">
          <a:extLst>
            <a:ext uri="{FF2B5EF4-FFF2-40B4-BE49-F238E27FC236}">
              <a16:creationId xmlns:a16="http://schemas.microsoft.com/office/drawing/2014/main" id="{00000000-0008-0000-0000-00009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19" name="Line 863">
          <a:extLst>
            <a:ext uri="{FF2B5EF4-FFF2-40B4-BE49-F238E27FC236}">
              <a16:creationId xmlns:a16="http://schemas.microsoft.com/office/drawing/2014/main" id="{00000000-0008-0000-0000-00009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20" name="Line 864">
          <a:extLst>
            <a:ext uri="{FF2B5EF4-FFF2-40B4-BE49-F238E27FC236}">
              <a16:creationId xmlns:a16="http://schemas.microsoft.com/office/drawing/2014/main" id="{00000000-0008-0000-0000-00009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21" name="Line 865">
          <a:extLst>
            <a:ext uri="{FF2B5EF4-FFF2-40B4-BE49-F238E27FC236}">
              <a16:creationId xmlns:a16="http://schemas.microsoft.com/office/drawing/2014/main" id="{00000000-0008-0000-0000-00009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22" name="Line 866">
          <a:extLst>
            <a:ext uri="{FF2B5EF4-FFF2-40B4-BE49-F238E27FC236}">
              <a16:creationId xmlns:a16="http://schemas.microsoft.com/office/drawing/2014/main" id="{00000000-0008-0000-0000-00009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23" name="Line 867">
          <a:extLst>
            <a:ext uri="{FF2B5EF4-FFF2-40B4-BE49-F238E27FC236}">
              <a16:creationId xmlns:a16="http://schemas.microsoft.com/office/drawing/2014/main" id="{00000000-0008-0000-0000-00009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24" name="Line 868">
          <a:extLst>
            <a:ext uri="{FF2B5EF4-FFF2-40B4-BE49-F238E27FC236}">
              <a16:creationId xmlns:a16="http://schemas.microsoft.com/office/drawing/2014/main" id="{00000000-0008-0000-0000-00009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25" name="Line 869">
          <a:extLst>
            <a:ext uri="{FF2B5EF4-FFF2-40B4-BE49-F238E27FC236}">
              <a16:creationId xmlns:a16="http://schemas.microsoft.com/office/drawing/2014/main" id="{00000000-0008-0000-0000-00009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26" name="Line 870">
          <a:extLst>
            <a:ext uri="{FF2B5EF4-FFF2-40B4-BE49-F238E27FC236}">
              <a16:creationId xmlns:a16="http://schemas.microsoft.com/office/drawing/2014/main" id="{00000000-0008-0000-0000-00009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27" name="Line 871">
          <a:extLst>
            <a:ext uri="{FF2B5EF4-FFF2-40B4-BE49-F238E27FC236}">
              <a16:creationId xmlns:a16="http://schemas.microsoft.com/office/drawing/2014/main" id="{00000000-0008-0000-0000-00009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28" name="Line 872">
          <a:extLst>
            <a:ext uri="{FF2B5EF4-FFF2-40B4-BE49-F238E27FC236}">
              <a16:creationId xmlns:a16="http://schemas.microsoft.com/office/drawing/2014/main" id="{00000000-0008-0000-0000-0000A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29" name="Line 873">
          <a:extLst>
            <a:ext uri="{FF2B5EF4-FFF2-40B4-BE49-F238E27FC236}">
              <a16:creationId xmlns:a16="http://schemas.microsoft.com/office/drawing/2014/main" id="{00000000-0008-0000-0000-0000A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30" name="Line 874">
          <a:extLst>
            <a:ext uri="{FF2B5EF4-FFF2-40B4-BE49-F238E27FC236}">
              <a16:creationId xmlns:a16="http://schemas.microsoft.com/office/drawing/2014/main" id="{00000000-0008-0000-0000-0000A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31" name="Line 875">
          <a:extLst>
            <a:ext uri="{FF2B5EF4-FFF2-40B4-BE49-F238E27FC236}">
              <a16:creationId xmlns:a16="http://schemas.microsoft.com/office/drawing/2014/main" id="{00000000-0008-0000-0000-0000A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32" name="Line 876">
          <a:extLst>
            <a:ext uri="{FF2B5EF4-FFF2-40B4-BE49-F238E27FC236}">
              <a16:creationId xmlns:a16="http://schemas.microsoft.com/office/drawing/2014/main" id="{00000000-0008-0000-0000-0000A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33" name="Line 877">
          <a:extLst>
            <a:ext uri="{FF2B5EF4-FFF2-40B4-BE49-F238E27FC236}">
              <a16:creationId xmlns:a16="http://schemas.microsoft.com/office/drawing/2014/main" id="{00000000-0008-0000-0000-0000A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34" name="Line 878">
          <a:extLst>
            <a:ext uri="{FF2B5EF4-FFF2-40B4-BE49-F238E27FC236}">
              <a16:creationId xmlns:a16="http://schemas.microsoft.com/office/drawing/2014/main" id="{00000000-0008-0000-0000-0000A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35" name="Line 879">
          <a:extLst>
            <a:ext uri="{FF2B5EF4-FFF2-40B4-BE49-F238E27FC236}">
              <a16:creationId xmlns:a16="http://schemas.microsoft.com/office/drawing/2014/main" id="{00000000-0008-0000-0000-0000A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36" name="Line 880">
          <a:extLst>
            <a:ext uri="{FF2B5EF4-FFF2-40B4-BE49-F238E27FC236}">
              <a16:creationId xmlns:a16="http://schemas.microsoft.com/office/drawing/2014/main" id="{00000000-0008-0000-0000-0000A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37" name="Line 881">
          <a:extLst>
            <a:ext uri="{FF2B5EF4-FFF2-40B4-BE49-F238E27FC236}">
              <a16:creationId xmlns:a16="http://schemas.microsoft.com/office/drawing/2014/main" id="{00000000-0008-0000-0000-0000A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38" name="Line 882">
          <a:extLst>
            <a:ext uri="{FF2B5EF4-FFF2-40B4-BE49-F238E27FC236}">
              <a16:creationId xmlns:a16="http://schemas.microsoft.com/office/drawing/2014/main" id="{00000000-0008-0000-0000-0000A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39" name="Line 883">
          <a:extLst>
            <a:ext uri="{FF2B5EF4-FFF2-40B4-BE49-F238E27FC236}">
              <a16:creationId xmlns:a16="http://schemas.microsoft.com/office/drawing/2014/main" id="{00000000-0008-0000-0000-0000AB20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40" name="Line 884">
          <a:extLst>
            <a:ext uri="{FF2B5EF4-FFF2-40B4-BE49-F238E27FC236}">
              <a16:creationId xmlns:a16="http://schemas.microsoft.com/office/drawing/2014/main" id="{00000000-0008-0000-0000-0000A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41" name="Line 885">
          <a:extLst>
            <a:ext uri="{FF2B5EF4-FFF2-40B4-BE49-F238E27FC236}">
              <a16:creationId xmlns:a16="http://schemas.microsoft.com/office/drawing/2014/main" id="{00000000-0008-0000-0000-0000A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42" name="Line 886">
          <a:extLst>
            <a:ext uri="{FF2B5EF4-FFF2-40B4-BE49-F238E27FC236}">
              <a16:creationId xmlns:a16="http://schemas.microsoft.com/office/drawing/2014/main" id="{00000000-0008-0000-0000-0000A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43" name="Line 887">
          <a:extLst>
            <a:ext uri="{FF2B5EF4-FFF2-40B4-BE49-F238E27FC236}">
              <a16:creationId xmlns:a16="http://schemas.microsoft.com/office/drawing/2014/main" id="{00000000-0008-0000-0000-0000A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44" name="Line 888">
          <a:extLst>
            <a:ext uri="{FF2B5EF4-FFF2-40B4-BE49-F238E27FC236}">
              <a16:creationId xmlns:a16="http://schemas.microsoft.com/office/drawing/2014/main" id="{00000000-0008-0000-0000-0000B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45" name="Line 889">
          <a:extLst>
            <a:ext uri="{FF2B5EF4-FFF2-40B4-BE49-F238E27FC236}">
              <a16:creationId xmlns:a16="http://schemas.microsoft.com/office/drawing/2014/main" id="{00000000-0008-0000-0000-0000B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46" name="Line 890">
          <a:extLst>
            <a:ext uri="{FF2B5EF4-FFF2-40B4-BE49-F238E27FC236}">
              <a16:creationId xmlns:a16="http://schemas.microsoft.com/office/drawing/2014/main" id="{00000000-0008-0000-0000-0000B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47" name="Line 891">
          <a:extLst>
            <a:ext uri="{FF2B5EF4-FFF2-40B4-BE49-F238E27FC236}">
              <a16:creationId xmlns:a16="http://schemas.microsoft.com/office/drawing/2014/main" id="{00000000-0008-0000-0000-0000B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48" name="Line 892">
          <a:extLst>
            <a:ext uri="{FF2B5EF4-FFF2-40B4-BE49-F238E27FC236}">
              <a16:creationId xmlns:a16="http://schemas.microsoft.com/office/drawing/2014/main" id="{00000000-0008-0000-0000-0000B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49" name="Line 893">
          <a:extLst>
            <a:ext uri="{FF2B5EF4-FFF2-40B4-BE49-F238E27FC236}">
              <a16:creationId xmlns:a16="http://schemas.microsoft.com/office/drawing/2014/main" id="{00000000-0008-0000-0000-0000B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50" name="Line 894">
          <a:extLst>
            <a:ext uri="{FF2B5EF4-FFF2-40B4-BE49-F238E27FC236}">
              <a16:creationId xmlns:a16="http://schemas.microsoft.com/office/drawing/2014/main" id="{00000000-0008-0000-0000-0000B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51" name="Line 895">
          <a:extLst>
            <a:ext uri="{FF2B5EF4-FFF2-40B4-BE49-F238E27FC236}">
              <a16:creationId xmlns:a16="http://schemas.microsoft.com/office/drawing/2014/main" id="{00000000-0008-0000-0000-0000B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52" name="Line 896">
          <a:extLst>
            <a:ext uri="{FF2B5EF4-FFF2-40B4-BE49-F238E27FC236}">
              <a16:creationId xmlns:a16="http://schemas.microsoft.com/office/drawing/2014/main" id="{00000000-0008-0000-0000-0000B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53" name="Line 897">
          <a:extLst>
            <a:ext uri="{FF2B5EF4-FFF2-40B4-BE49-F238E27FC236}">
              <a16:creationId xmlns:a16="http://schemas.microsoft.com/office/drawing/2014/main" id="{00000000-0008-0000-0000-0000B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54" name="Line 898">
          <a:extLst>
            <a:ext uri="{FF2B5EF4-FFF2-40B4-BE49-F238E27FC236}">
              <a16:creationId xmlns:a16="http://schemas.microsoft.com/office/drawing/2014/main" id="{00000000-0008-0000-0000-0000B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55" name="Line 899">
          <a:extLst>
            <a:ext uri="{FF2B5EF4-FFF2-40B4-BE49-F238E27FC236}">
              <a16:creationId xmlns:a16="http://schemas.microsoft.com/office/drawing/2014/main" id="{00000000-0008-0000-0000-0000B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56" name="Line 900">
          <a:extLst>
            <a:ext uri="{FF2B5EF4-FFF2-40B4-BE49-F238E27FC236}">
              <a16:creationId xmlns:a16="http://schemas.microsoft.com/office/drawing/2014/main" id="{00000000-0008-0000-0000-0000B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57" name="Line 901">
          <a:extLst>
            <a:ext uri="{FF2B5EF4-FFF2-40B4-BE49-F238E27FC236}">
              <a16:creationId xmlns:a16="http://schemas.microsoft.com/office/drawing/2014/main" id="{00000000-0008-0000-0000-0000B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58" name="Line 902">
          <a:extLst>
            <a:ext uri="{FF2B5EF4-FFF2-40B4-BE49-F238E27FC236}">
              <a16:creationId xmlns:a16="http://schemas.microsoft.com/office/drawing/2014/main" id="{00000000-0008-0000-0000-0000B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59" name="Line 903">
          <a:extLst>
            <a:ext uri="{FF2B5EF4-FFF2-40B4-BE49-F238E27FC236}">
              <a16:creationId xmlns:a16="http://schemas.microsoft.com/office/drawing/2014/main" id="{00000000-0008-0000-0000-0000B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60" name="Line 904">
          <a:extLst>
            <a:ext uri="{FF2B5EF4-FFF2-40B4-BE49-F238E27FC236}">
              <a16:creationId xmlns:a16="http://schemas.microsoft.com/office/drawing/2014/main" id="{00000000-0008-0000-0000-0000C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61" name="Line 905">
          <a:extLst>
            <a:ext uri="{FF2B5EF4-FFF2-40B4-BE49-F238E27FC236}">
              <a16:creationId xmlns:a16="http://schemas.microsoft.com/office/drawing/2014/main" id="{00000000-0008-0000-0000-0000C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62" name="Line 906">
          <a:extLst>
            <a:ext uri="{FF2B5EF4-FFF2-40B4-BE49-F238E27FC236}">
              <a16:creationId xmlns:a16="http://schemas.microsoft.com/office/drawing/2014/main" id="{00000000-0008-0000-0000-0000C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63" name="Line 907">
          <a:extLst>
            <a:ext uri="{FF2B5EF4-FFF2-40B4-BE49-F238E27FC236}">
              <a16:creationId xmlns:a16="http://schemas.microsoft.com/office/drawing/2014/main" id="{00000000-0008-0000-0000-0000C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64" name="Line 908">
          <a:extLst>
            <a:ext uri="{FF2B5EF4-FFF2-40B4-BE49-F238E27FC236}">
              <a16:creationId xmlns:a16="http://schemas.microsoft.com/office/drawing/2014/main" id="{00000000-0008-0000-0000-0000C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65" name="Line 909">
          <a:extLst>
            <a:ext uri="{FF2B5EF4-FFF2-40B4-BE49-F238E27FC236}">
              <a16:creationId xmlns:a16="http://schemas.microsoft.com/office/drawing/2014/main" id="{00000000-0008-0000-0000-0000C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66" name="Line 910">
          <a:extLst>
            <a:ext uri="{FF2B5EF4-FFF2-40B4-BE49-F238E27FC236}">
              <a16:creationId xmlns:a16="http://schemas.microsoft.com/office/drawing/2014/main" id="{00000000-0008-0000-0000-0000C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67" name="Line 911">
          <a:extLst>
            <a:ext uri="{FF2B5EF4-FFF2-40B4-BE49-F238E27FC236}">
              <a16:creationId xmlns:a16="http://schemas.microsoft.com/office/drawing/2014/main" id="{00000000-0008-0000-0000-0000C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68" name="Line 912">
          <a:extLst>
            <a:ext uri="{FF2B5EF4-FFF2-40B4-BE49-F238E27FC236}">
              <a16:creationId xmlns:a16="http://schemas.microsoft.com/office/drawing/2014/main" id="{00000000-0008-0000-0000-0000C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69" name="Line 913">
          <a:extLst>
            <a:ext uri="{FF2B5EF4-FFF2-40B4-BE49-F238E27FC236}">
              <a16:creationId xmlns:a16="http://schemas.microsoft.com/office/drawing/2014/main" id="{00000000-0008-0000-0000-0000C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70" name="Line 914">
          <a:extLst>
            <a:ext uri="{FF2B5EF4-FFF2-40B4-BE49-F238E27FC236}">
              <a16:creationId xmlns:a16="http://schemas.microsoft.com/office/drawing/2014/main" id="{00000000-0008-0000-0000-0000C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71" name="Line 915">
          <a:extLst>
            <a:ext uri="{FF2B5EF4-FFF2-40B4-BE49-F238E27FC236}">
              <a16:creationId xmlns:a16="http://schemas.microsoft.com/office/drawing/2014/main" id="{00000000-0008-0000-0000-0000C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72" name="Line 916">
          <a:extLst>
            <a:ext uri="{FF2B5EF4-FFF2-40B4-BE49-F238E27FC236}">
              <a16:creationId xmlns:a16="http://schemas.microsoft.com/office/drawing/2014/main" id="{00000000-0008-0000-0000-0000C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73" name="Line 917">
          <a:extLst>
            <a:ext uri="{FF2B5EF4-FFF2-40B4-BE49-F238E27FC236}">
              <a16:creationId xmlns:a16="http://schemas.microsoft.com/office/drawing/2014/main" id="{00000000-0008-0000-0000-0000C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74" name="Line 918">
          <a:extLst>
            <a:ext uri="{FF2B5EF4-FFF2-40B4-BE49-F238E27FC236}">
              <a16:creationId xmlns:a16="http://schemas.microsoft.com/office/drawing/2014/main" id="{00000000-0008-0000-0000-0000C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75" name="Line 919">
          <a:extLst>
            <a:ext uri="{FF2B5EF4-FFF2-40B4-BE49-F238E27FC236}">
              <a16:creationId xmlns:a16="http://schemas.microsoft.com/office/drawing/2014/main" id="{00000000-0008-0000-0000-0000C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76" name="Line 920">
          <a:extLst>
            <a:ext uri="{FF2B5EF4-FFF2-40B4-BE49-F238E27FC236}">
              <a16:creationId xmlns:a16="http://schemas.microsoft.com/office/drawing/2014/main" id="{00000000-0008-0000-0000-0000D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77" name="Line 921">
          <a:extLst>
            <a:ext uri="{FF2B5EF4-FFF2-40B4-BE49-F238E27FC236}">
              <a16:creationId xmlns:a16="http://schemas.microsoft.com/office/drawing/2014/main" id="{00000000-0008-0000-0000-0000D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78" name="Line 922">
          <a:extLst>
            <a:ext uri="{FF2B5EF4-FFF2-40B4-BE49-F238E27FC236}">
              <a16:creationId xmlns:a16="http://schemas.microsoft.com/office/drawing/2014/main" id="{00000000-0008-0000-0000-0000D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79" name="Line 923">
          <a:extLst>
            <a:ext uri="{FF2B5EF4-FFF2-40B4-BE49-F238E27FC236}">
              <a16:creationId xmlns:a16="http://schemas.microsoft.com/office/drawing/2014/main" id="{00000000-0008-0000-0000-0000D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80" name="Line 924">
          <a:extLst>
            <a:ext uri="{FF2B5EF4-FFF2-40B4-BE49-F238E27FC236}">
              <a16:creationId xmlns:a16="http://schemas.microsoft.com/office/drawing/2014/main" id="{00000000-0008-0000-0000-0000D420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81" name="Line 925">
          <a:extLst>
            <a:ext uri="{FF2B5EF4-FFF2-40B4-BE49-F238E27FC236}">
              <a16:creationId xmlns:a16="http://schemas.microsoft.com/office/drawing/2014/main" id="{00000000-0008-0000-0000-0000D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82" name="Line 926">
          <a:extLst>
            <a:ext uri="{FF2B5EF4-FFF2-40B4-BE49-F238E27FC236}">
              <a16:creationId xmlns:a16="http://schemas.microsoft.com/office/drawing/2014/main" id="{00000000-0008-0000-0000-0000D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83" name="Line 927">
          <a:extLst>
            <a:ext uri="{FF2B5EF4-FFF2-40B4-BE49-F238E27FC236}">
              <a16:creationId xmlns:a16="http://schemas.microsoft.com/office/drawing/2014/main" id="{00000000-0008-0000-0000-0000D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84" name="Line 928">
          <a:extLst>
            <a:ext uri="{FF2B5EF4-FFF2-40B4-BE49-F238E27FC236}">
              <a16:creationId xmlns:a16="http://schemas.microsoft.com/office/drawing/2014/main" id="{00000000-0008-0000-0000-0000D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85" name="Line 929">
          <a:extLst>
            <a:ext uri="{FF2B5EF4-FFF2-40B4-BE49-F238E27FC236}">
              <a16:creationId xmlns:a16="http://schemas.microsoft.com/office/drawing/2014/main" id="{00000000-0008-0000-0000-0000D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86" name="Line 930">
          <a:extLst>
            <a:ext uri="{FF2B5EF4-FFF2-40B4-BE49-F238E27FC236}">
              <a16:creationId xmlns:a16="http://schemas.microsoft.com/office/drawing/2014/main" id="{00000000-0008-0000-0000-0000D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87" name="Line 931">
          <a:extLst>
            <a:ext uri="{FF2B5EF4-FFF2-40B4-BE49-F238E27FC236}">
              <a16:creationId xmlns:a16="http://schemas.microsoft.com/office/drawing/2014/main" id="{00000000-0008-0000-0000-0000D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88" name="Line 932">
          <a:extLst>
            <a:ext uri="{FF2B5EF4-FFF2-40B4-BE49-F238E27FC236}">
              <a16:creationId xmlns:a16="http://schemas.microsoft.com/office/drawing/2014/main" id="{00000000-0008-0000-0000-0000D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89" name="Line 933">
          <a:extLst>
            <a:ext uri="{FF2B5EF4-FFF2-40B4-BE49-F238E27FC236}">
              <a16:creationId xmlns:a16="http://schemas.microsoft.com/office/drawing/2014/main" id="{00000000-0008-0000-0000-0000D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90" name="Line 934">
          <a:extLst>
            <a:ext uri="{FF2B5EF4-FFF2-40B4-BE49-F238E27FC236}">
              <a16:creationId xmlns:a16="http://schemas.microsoft.com/office/drawing/2014/main" id="{00000000-0008-0000-0000-0000D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91" name="Line 935">
          <a:extLst>
            <a:ext uri="{FF2B5EF4-FFF2-40B4-BE49-F238E27FC236}">
              <a16:creationId xmlns:a16="http://schemas.microsoft.com/office/drawing/2014/main" id="{00000000-0008-0000-0000-0000D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92" name="Line 936">
          <a:extLst>
            <a:ext uri="{FF2B5EF4-FFF2-40B4-BE49-F238E27FC236}">
              <a16:creationId xmlns:a16="http://schemas.microsoft.com/office/drawing/2014/main" id="{00000000-0008-0000-0000-0000E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93" name="Line 937">
          <a:extLst>
            <a:ext uri="{FF2B5EF4-FFF2-40B4-BE49-F238E27FC236}">
              <a16:creationId xmlns:a16="http://schemas.microsoft.com/office/drawing/2014/main" id="{00000000-0008-0000-0000-0000E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94" name="Line 938">
          <a:extLst>
            <a:ext uri="{FF2B5EF4-FFF2-40B4-BE49-F238E27FC236}">
              <a16:creationId xmlns:a16="http://schemas.microsoft.com/office/drawing/2014/main" id="{00000000-0008-0000-0000-0000E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95" name="Line 939">
          <a:extLst>
            <a:ext uri="{FF2B5EF4-FFF2-40B4-BE49-F238E27FC236}">
              <a16:creationId xmlns:a16="http://schemas.microsoft.com/office/drawing/2014/main" id="{00000000-0008-0000-0000-0000E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96" name="Line 940">
          <a:extLst>
            <a:ext uri="{FF2B5EF4-FFF2-40B4-BE49-F238E27FC236}">
              <a16:creationId xmlns:a16="http://schemas.microsoft.com/office/drawing/2014/main" id="{00000000-0008-0000-0000-0000E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97" name="Line 941">
          <a:extLst>
            <a:ext uri="{FF2B5EF4-FFF2-40B4-BE49-F238E27FC236}">
              <a16:creationId xmlns:a16="http://schemas.microsoft.com/office/drawing/2014/main" id="{00000000-0008-0000-0000-0000E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398" name="Line 942">
          <a:extLst>
            <a:ext uri="{FF2B5EF4-FFF2-40B4-BE49-F238E27FC236}">
              <a16:creationId xmlns:a16="http://schemas.microsoft.com/office/drawing/2014/main" id="{00000000-0008-0000-0000-0000E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399" name="Line 943">
          <a:extLst>
            <a:ext uri="{FF2B5EF4-FFF2-40B4-BE49-F238E27FC236}">
              <a16:creationId xmlns:a16="http://schemas.microsoft.com/office/drawing/2014/main" id="{00000000-0008-0000-0000-0000E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00" name="Line 944">
          <a:extLst>
            <a:ext uri="{FF2B5EF4-FFF2-40B4-BE49-F238E27FC236}">
              <a16:creationId xmlns:a16="http://schemas.microsoft.com/office/drawing/2014/main" id="{00000000-0008-0000-0000-0000E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01" name="Line 945">
          <a:extLst>
            <a:ext uri="{FF2B5EF4-FFF2-40B4-BE49-F238E27FC236}">
              <a16:creationId xmlns:a16="http://schemas.microsoft.com/office/drawing/2014/main" id="{00000000-0008-0000-0000-0000E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02" name="Line 946">
          <a:extLst>
            <a:ext uri="{FF2B5EF4-FFF2-40B4-BE49-F238E27FC236}">
              <a16:creationId xmlns:a16="http://schemas.microsoft.com/office/drawing/2014/main" id="{00000000-0008-0000-0000-0000E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03" name="Line 947">
          <a:extLst>
            <a:ext uri="{FF2B5EF4-FFF2-40B4-BE49-F238E27FC236}">
              <a16:creationId xmlns:a16="http://schemas.microsoft.com/office/drawing/2014/main" id="{00000000-0008-0000-0000-0000E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04" name="Line 948">
          <a:extLst>
            <a:ext uri="{FF2B5EF4-FFF2-40B4-BE49-F238E27FC236}">
              <a16:creationId xmlns:a16="http://schemas.microsoft.com/office/drawing/2014/main" id="{00000000-0008-0000-0000-0000E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05" name="Line 949">
          <a:extLst>
            <a:ext uri="{FF2B5EF4-FFF2-40B4-BE49-F238E27FC236}">
              <a16:creationId xmlns:a16="http://schemas.microsoft.com/office/drawing/2014/main" id="{00000000-0008-0000-0000-0000ED20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06" name="Line 950">
          <a:extLst>
            <a:ext uri="{FF2B5EF4-FFF2-40B4-BE49-F238E27FC236}">
              <a16:creationId xmlns:a16="http://schemas.microsoft.com/office/drawing/2014/main" id="{00000000-0008-0000-0000-0000E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07" name="Line 951">
          <a:extLst>
            <a:ext uri="{FF2B5EF4-FFF2-40B4-BE49-F238E27FC236}">
              <a16:creationId xmlns:a16="http://schemas.microsoft.com/office/drawing/2014/main" id="{00000000-0008-0000-0000-0000E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08" name="Line 952">
          <a:extLst>
            <a:ext uri="{FF2B5EF4-FFF2-40B4-BE49-F238E27FC236}">
              <a16:creationId xmlns:a16="http://schemas.microsoft.com/office/drawing/2014/main" id="{00000000-0008-0000-0000-0000F0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09" name="Line 953">
          <a:extLst>
            <a:ext uri="{FF2B5EF4-FFF2-40B4-BE49-F238E27FC236}">
              <a16:creationId xmlns:a16="http://schemas.microsoft.com/office/drawing/2014/main" id="{00000000-0008-0000-0000-0000F1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10" name="Line 954">
          <a:extLst>
            <a:ext uri="{FF2B5EF4-FFF2-40B4-BE49-F238E27FC236}">
              <a16:creationId xmlns:a16="http://schemas.microsoft.com/office/drawing/2014/main" id="{00000000-0008-0000-0000-0000F2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11" name="Line 955">
          <a:extLst>
            <a:ext uri="{FF2B5EF4-FFF2-40B4-BE49-F238E27FC236}">
              <a16:creationId xmlns:a16="http://schemas.microsoft.com/office/drawing/2014/main" id="{00000000-0008-0000-0000-0000F3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12" name="Line 956">
          <a:extLst>
            <a:ext uri="{FF2B5EF4-FFF2-40B4-BE49-F238E27FC236}">
              <a16:creationId xmlns:a16="http://schemas.microsoft.com/office/drawing/2014/main" id="{00000000-0008-0000-0000-0000F4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13" name="Line 957">
          <a:extLst>
            <a:ext uri="{FF2B5EF4-FFF2-40B4-BE49-F238E27FC236}">
              <a16:creationId xmlns:a16="http://schemas.microsoft.com/office/drawing/2014/main" id="{00000000-0008-0000-0000-0000F5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14" name="Line 958">
          <a:extLst>
            <a:ext uri="{FF2B5EF4-FFF2-40B4-BE49-F238E27FC236}">
              <a16:creationId xmlns:a16="http://schemas.microsoft.com/office/drawing/2014/main" id="{00000000-0008-0000-0000-0000F6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15" name="Line 959">
          <a:extLst>
            <a:ext uri="{FF2B5EF4-FFF2-40B4-BE49-F238E27FC236}">
              <a16:creationId xmlns:a16="http://schemas.microsoft.com/office/drawing/2014/main" id="{00000000-0008-0000-0000-0000F7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16" name="Line 960">
          <a:extLst>
            <a:ext uri="{FF2B5EF4-FFF2-40B4-BE49-F238E27FC236}">
              <a16:creationId xmlns:a16="http://schemas.microsoft.com/office/drawing/2014/main" id="{00000000-0008-0000-0000-0000F8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17" name="Line 961">
          <a:extLst>
            <a:ext uri="{FF2B5EF4-FFF2-40B4-BE49-F238E27FC236}">
              <a16:creationId xmlns:a16="http://schemas.microsoft.com/office/drawing/2014/main" id="{00000000-0008-0000-0000-0000F9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18" name="Line 962">
          <a:extLst>
            <a:ext uri="{FF2B5EF4-FFF2-40B4-BE49-F238E27FC236}">
              <a16:creationId xmlns:a16="http://schemas.microsoft.com/office/drawing/2014/main" id="{00000000-0008-0000-0000-0000FA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19" name="Line 963">
          <a:extLst>
            <a:ext uri="{FF2B5EF4-FFF2-40B4-BE49-F238E27FC236}">
              <a16:creationId xmlns:a16="http://schemas.microsoft.com/office/drawing/2014/main" id="{00000000-0008-0000-0000-0000FB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20" name="Line 964">
          <a:extLst>
            <a:ext uri="{FF2B5EF4-FFF2-40B4-BE49-F238E27FC236}">
              <a16:creationId xmlns:a16="http://schemas.microsoft.com/office/drawing/2014/main" id="{00000000-0008-0000-0000-0000FC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21" name="Line 965">
          <a:extLst>
            <a:ext uri="{FF2B5EF4-FFF2-40B4-BE49-F238E27FC236}">
              <a16:creationId xmlns:a16="http://schemas.microsoft.com/office/drawing/2014/main" id="{00000000-0008-0000-0000-0000FD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22" name="Line 966">
          <a:extLst>
            <a:ext uri="{FF2B5EF4-FFF2-40B4-BE49-F238E27FC236}">
              <a16:creationId xmlns:a16="http://schemas.microsoft.com/office/drawing/2014/main" id="{00000000-0008-0000-0000-0000FE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23" name="Line 967">
          <a:extLst>
            <a:ext uri="{FF2B5EF4-FFF2-40B4-BE49-F238E27FC236}">
              <a16:creationId xmlns:a16="http://schemas.microsoft.com/office/drawing/2014/main" id="{00000000-0008-0000-0000-0000FF20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24" name="Line 968">
          <a:extLst>
            <a:ext uri="{FF2B5EF4-FFF2-40B4-BE49-F238E27FC236}">
              <a16:creationId xmlns:a16="http://schemas.microsoft.com/office/drawing/2014/main" id="{00000000-0008-0000-0000-00000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25" name="Line 969">
          <a:extLst>
            <a:ext uri="{FF2B5EF4-FFF2-40B4-BE49-F238E27FC236}">
              <a16:creationId xmlns:a16="http://schemas.microsoft.com/office/drawing/2014/main" id="{00000000-0008-0000-0000-00000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26" name="Line 970">
          <a:extLst>
            <a:ext uri="{FF2B5EF4-FFF2-40B4-BE49-F238E27FC236}">
              <a16:creationId xmlns:a16="http://schemas.microsoft.com/office/drawing/2014/main" id="{00000000-0008-0000-0000-00000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27" name="Line 971">
          <a:extLst>
            <a:ext uri="{FF2B5EF4-FFF2-40B4-BE49-F238E27FC236}">
              <a16:creationId xmlns:a16="http://schemas.microsoft.com/office/drawing/2014/main" id="{00000000-0008-0000-0000-00000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28" name="Line 972">
          <a:extLst>
            <a:ext uri="{FF2B5EF4-FFF2-40B4-BE49-F238E27FC236}">
              <a16:creationId xmlns:a16="http://schemas.microsoft.com/office/drawing/2014/main" id="{00000000-0008-0000-0000-00000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29" name="Line 973">
          <a:extLst>
            <a:ext uri="{FF2B5EF4-FFF2-40B4-BE49-F238E27FC236}">
              <a16:creationId xmlns:a16="http://schemas.microsoft.com/office/drawing/2014/main" id="{00000000-0008-0000-0000-00000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30" name="Line 974">
          <a:extLst>
            <a:ext uri="{FF2B5EF4-FFF2-40B4-BE49-F238E27FC236}">
              <a16:creationId xmlns:a16="http://schemas.microsoft.com/office/drawing/2014/main" id="{00000000-0008-0000-0000-00000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31" name="Line 975">
          <a:extLst>
            <a:ext uri="{FF2B5EF4-FFF2-40B4-BE49-F238E27FC236}">
              <a16:creationId xmlns:a16="http://schemas.microsoft.com/office/drawing/2014/main" id="{00000000-0008-0000-0000-00000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32" name="Line 976">
          <a:extLst>
            <a:ext uri="{FF2B5EF4-FFF2-40B4-BE49-F238E27FC236}">
              <a16:creationId xmlns:a16="http://schemas.microsoft.com/office/drawing/2014/main" id="{00000000-0008-0000-0000-00000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33" name="Line 977">
          <a:extLst>
            <a:ext uri="{FF2B5EF4-FFF2-40B4-BE49-F238E27FC236}">
              <a16:creationId xmlns:a16="http://schemas.microsoft.com/office/drawing/2014/main" id="{00000000-0008-0000-0000-00000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34" name="Line 978">
          <a:extLst>
            <a:ext uri="{FF2B5EF4-FFF2-40B4-BE49-F238E27FC236}">
              <a16:creationId xmlns:a16="http://schemas.microsoft.com/office/drawing/2014/main" id="{00000000-0008-0000-0000-00000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35" name="Line 979">
          <a:extLst>
            <a:ext uri="{FF2B5EF4-FFF2-40B4-BE49-F238E27FC236}">
              <a16:creationId xmlns:a16="http://schemas.microsoft.com/office/drawing/2014/main" id="{00000000-0008-0000-0000-00000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36" name="Line 980">
          <a:extLst>
            <a:ext uri="{FF2B5EF4-FFF2-40B4-BE49-F238E27FC236}">
              <a16:creationId xmlns:a16="http://schemas.microsoft.com/office/drawing/2014/main" id="{00000000-0008-0000-0000-00000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37" name="Line 981">
          <a:extLst>
            <a:ext uri="{FF2B5EF4-FFF2-40B4-BE49-F238E27FC236}">
              <a16:creationId xmlns:a16="http://schemas.microsoft.com/office/drawing/2014/main" id="{00000000-0008-0000-0000-00000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38" name="Line 982">
          <a:extLst>
            <a:ext uri="{FF2B5EF4-FFF2-40B4-BE49-F238E27FC236}">
              <a16:creationId xmlns:a16="http://schemas.microsoft.com/office/drawing/2014/main" id="{00000000-0008-0000-0000-00000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39" name="Line 983">
          <a:extLst>
            <a:ext uri="{FF2B5EF4-FFF2-40B4-BE49-F238E27FC236}">
              <a16:creationId xmlns:a16="http://schemas.microsoft.com/office/drawing/2014/main" id="{00000000-0008-0000-0000-00000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40" name="Line 984">
          <a:extLst>
            <a:ext uri="{FF2B5EF4-FFF2-40B4-BE49-F238E27FC236}">
              <a16:creationId xmlns:a16="http://schemas.microsoft.com/office/drawing/2014/main" id="{00000000-0008-0000-0000-00001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41" name="Line 985">
          <a:extLst>
            <a:ext uri="{FF2B5EF4-FFF2-40B4-BE49-F238E27FC236}">
              <a16:creationId xmlns:a16="http://schemas.microsoft.com/office/drawing/2014/main" id="{00000000-0008-0000-0000-00001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42" name="Line 986">
          <a:extLst>
            <a:ext uri="{FF2B5EF4-FFF2-40B4-BE49-F238E27FC236}">
              <a16:creationId xmlns:a16="http://schemas.microsoft.com/office/drawing/2014/main" id="{00000000-0008-0000-0000-00001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43" name="Line 987">
          <a:extLst>
            <a:ext uri="{FF2B5EF4-FFF2-40B4-BE49-F238E27FC236}">
              <a16:creationId xmlns:a16="http://schemas.microsoft.com/office/drawing/2014/main" id="{00000000-0008-0000-0000-00001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44" name="Line 988">
          <a:extLst>
            <a:ext uri="{FF2B5EF4-FFF2-40B4-BE49-F238E27FC236}">
              <a16:creationId xmlns:a16="http://schemas.microsoft.com/office/drawing/2014/main" id="{00000000-0008-0000-0000-00001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45" name="Line 989">
          <a:extLst>
            <a:ext uri="{FF2B5EF4-FFF2-40B4-BE49-F238E27FC236}">
              <a16:creationId xmlns:a16="http://schemas.microsoft.com/office/drawing/2014/main" id="{00000000-0008-0000-0000-00001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46" name="Line 990">
          <a:extLst>
            <a:ext uri="{FF2B5EF4-FFF2-40B4-BE49-F238E27FC236}">
              <a16:creationId xmlns:a16="http://schemas.microsoft.com/office/drawing/2014/main" id="{00000000-0008-0000-0000-00001621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47" name="Line 991">
          <a:extLst>
            <a:ext uri="{FF2B5EF4-FFF2-40B4-BE49-F238E27FC236}">
              <a16:creationId xmlns:a16="http://schemas.microsoft.com/office/drawing/2014/main" id="{00000000-0008-0000-0000-00001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48" name="Line 992">
          <a:extLst>
            <a:ext uri="{FF2B5EF4-FFF2-40B4-BE49-F238E27FC236}">
              <a16:creationId xmlns:a16="http://schemas.microsoft.com/office/drawing/2014/main" id="{00000000-0008-0000-0000-00001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49" name="Line 993">
          <a:extLst>
            <a:ext uri="{FF2B5EF4-FFF2-40B4-BE49-F238E27FC236}">
              <a16:creationId xmlns:a16="http://schemas.microsoft.com/office/drawing/2014/main" id="{00000000-0008-0000-0000-00001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50" name="Line 994">
          <a:extLst>
            <a:ext uri="{FF2B5EF4-FFF2-40B4-BE49-F238E27FC236}">
              <a16:creationId xmlns:a16="http://schemas.microsoft.com/office/drawing/2014/main" id="{00000000-0008-0000-0000-00001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51" name="Line 995">
          <a:extLst>
            <a:ext uri="{FF2B5EF4-FFF2-40B4-BE49-F238E27FC236}">
              <a16:creationId xmlns:a16="http://schemas.microsoft.com/office/drawing/2014/main" id="{00000000-0008-0000-0000-00001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52" name="Line 996">
          <a:extLst>
            <a:ext uri="{FF2B5EF4-FFF2-40B4-BE49-F238E27FC236}">
              <a16:creationId xmlns:a16="http://schemas.microsoft.com/office/drawing/2014/main" id="{00000000-0008-0000-0000-00001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53" name="Line 997">
          <a:extLst>
            <a:ext uri="{FF2B5EF4-FFF2-40B4-BE49-F238E27FC236}">
              <a16:creationId xmlns:a16="http://schemas.microsoft.com/office/drawing/2014/main" id="{00000000-0008-0000-0000-00001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54" name="Line 998">
          <a:extLst>
            <a:ext uri="{FF2B5EF4-FFF2-40B4-BE49-F238E27FC236}">
              <a16:creationId xmlns:a16="http://schemas.microsoft.com/office/drawing/2014/main" id="{00000000-0008-0000-0000-00001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55" name="Line 999">
          <a:extLst>
            <a:ext uri="{FF2B5EF4-FFF2-40B4-BE49-F238E27FC236}">
              <a16:creationId xmlns:a16="http://schemas.microsoft.com/office/drawing/2014/main" id="{00000000-0008-0000-0000-00001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56" name="Line 1000">
          <a:extLst>
            <a:ext uri="{FF2B5EF4-FFF2-40B4-BE49-F238E27FC236}">
              <a16:creationId xmlns:a16="http://schemas.microsoft.com/office/drawing/2014/main" id="{00000000-0008-0000-0000-00002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57" name="Line 1001">
          <a:extLst>
            <a:ext uri="{FF2B5EF4-FFF2-40B4-BE49-F238E27FC236}">
              <a16:creationId xmlns:a16="http://schemas.microsoft.com/office/drawing/2014/main" id="{00000000-0008-0000-0000-00002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58" name="Line 1002">
          <a:extLst>
            <a:ext uri="{FF2B5EF4-FFF2-40B4-BE49-F238E27FC236}">
              <a16:creationId xmlns:a16="http://schemas.microsoft.com/office/drawing/2014/main" id="{00000000-0008-0000-0000-00002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59" name="Line 1003">
          <a:extLst>
            <a:ext uri="{FF2B5EF4-FFF2-40B4-BE49-F238E27FC236}">
              <a16:creationId xmlns:a16="http://schemas.microsoft.com/office/drawing/2014/main" id="{00000000-0008-0000-0000-00002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60" name="Line 1004">
          <a:extLst>
            <a:ext uri="{FF2B5EF4-FFF2-40B4-BE49-F238E27FC236}">
              <a16:creationId xmlns:a16="http://schemas.microsoft.com/office/drawing/2014/main" id="{00000000-0008-0000-0000-00002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61" name="Line 1005">
          <a:extLst>
            <a:ext uri="{FF2B5EF4-FFF2-40B4-BE49-F238E27FC236}">
              <a16:creationId xmlns:a16="http://schemas.microsoft.com/office/drawing/2014/main" id="{00000000-0008-0000-0000-00002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62" name="Line 1006">
          <a:extLst>
            <a:ext uri="{FF2B5EF4-FFF2-40B4-BE49-F238E27FC236}">
              <a16:creationId xmlns:a16="http://schemas.microsoft.com/office/drawing/2014/main" id="{00000000-0008-0000-0000-00002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63" name="Line 1007">
          <a:extLst>
            <a:ext uri="{FF2B5EF4-FFF2-40B4-BE49-F238E27FC236}">
              <a16:creationId xmlns:a16="http://schemas.microsoft.com/office/drawing/2014/main" id="{00000000-0008-0000-0000-00002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64" name="Line 1008">
          <a:extLst>
            <a:ext uri="{FF2B5EF4-FFF2-40B4-BE49-F238E27FC236}">
              <a16:creationId xmlns:a16="http://schemas.microsoft.com/office/drawing/2014/main" id="{00000000-0008-0000-0000-00002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65" name="Line 1009">
          <a:extLst>
            <a:ext uri="{FF2B5EF4-FFF2-40B4-BE49-F238E27FC236}">
              <a16:creationId xmlns:a16="http://schemas.microsoft.com/office/drawing/2014/main" id="{00000000-0008-0000-0000-00002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66" name="Line 1010">
          <a:extLst>
            <a:ext uri="{FF2B5EF4-FFF2-40B4-BE49-F238E27FC236}">
              <a16:creationId xmlns:a16="http://schemas.microsoft.com/office/drawing/2014/main" id="{00000000-0008-0000-0000-00002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67" name="Line 1011">
          <a:extLst>
            <a:ext uri="{FF2B5EF4-FFF2-40B4-BE49-F238E27FC236}">
              <a16:creationId xmlns:a16="http://schemas.microsoft.com/office/drawing/2014/main" id="{00000000-0008-0000-0000-00002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68" name="Line 1012">
          <a:extLst>
            <a:ext uri="{FF2B5EF4-FFF2-40B4-BE49-F238E27FC236}">
              <a16:creationId xmlns:a16="http://schemas.microsoft.com/office/drawing/2014/main" id="{00000000-0008-0000-0000-00002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69" name="Line 1013">
          <a:extLst>
            <a:ext uri="{FF2B5EF4-FFF2-40B4-BE49-F238E27FC236}">
              <a16:creationId xmlns:a16="http://schemas.microsoft.com/office/drawing/2014/main" id="{00000000-0008-0000-0000-00002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70" name="Line 1014">
          <a:extLst>
            <a:ext uri="{FF2B5EF4-FFF2-40B4-BE49-F238E27FC236}">
              <a16:creationId xmlns:a16="http://schemas.microsoft.com/office/drawing/2014/main" id="{00000000-0008-0000-0000-00002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71" name="Line 1015">
          <a:extLst>
            <a:ext uri="{FF2B5EF4-FFF2-40B4-BE49-F238E27FC236}">
              <a16:creationId xmlns:a16="http://schemas.microsoft.com/office/drawing/2014/main" id="{00000000-0008-0000-0000-00002F21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72" name="Line 1016">
          <a:extLst>
            <a:ext uri="{FF2B5EF4-FFF2-40B4-BE49-F238E27FC236}">
              <a16:creationId xmlns:a16="http://schemas.microsoft.com/office/drawing/2014/main" id="{00000000-0008-0000-0000-00003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73" name="Line 1017">
          <a:extLst>
            <a:ext uri="{FF2B5EF4-FFF2-40B4-BE49-F238E27FC236}">
              <a16:creationId xmlns:a16="http://schemas.microsoft.com/office/drawing/2014/main" id="{00000000-0008-0000-0000-00003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74" name="Line 1018">
          <a:extLst>
            <a:ext uri="{FF2B5EF4-FFF2-40B4-BE49-F238E27FC236}">
              <a16:creationId xmlns:a16="http://schemas.microsoft.com/office/drawing/2014/main" id="{00000000-0008-0000-0000-00003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75" name="Line 1019">
          <a:extLst>
            <a:ext uri="{FF2B5EF4-FFF2-40B4-BE49-F238E27FC236}">
              <a16:creationId xmlns:a16="http://schemas.microsoft.com/office/drawing/2014/main" id="{00000000-0008-0000-0000-00003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76" name="Line 1020">
          <a:extLst>
            <a:ext uri="{FF2B5EF4-FFF2-40B4-BE49-F238E27FC236}">
              <a16:creationId xmlns:a16="http://schemas.microsoft.com/office/drawing/2014/main" id="{00000000-0008-0000-0000-00003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77" name="Line 1021">
          <a:extLst>
            <a:ext uri="{FF2B5EF4-FFF2-40B4-BE49-F238E27FC236}">
              <a16:creationId xmlns:a16="http://schemas.microsoft.com/office/drawing/2014/main" id="{00000000-0008-0000-0000-00003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78" name="Line 1022">
          <a:extLst>
            <a:ext uri="{FF2B5EF4-FFF2-40B4-BE49-F238E27FC236}">
              <a16:creationId xmlns:a16="http://schemas.microsoft.com/office/drawing/2014/main" id="{00000000-0008-0000-0000-00003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79" name="Line 1023">
          <a:extLst>
            <a:ext uri="{FF2B5EF4-FFF2-40B4-BE49-F238E27FC236}">
              <a16:creationId xmlns:a16="http://schemas.microsoft.com/office/drawing/2014/main" id="{00000000-0008-0000-0000-00003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80" name="Line 1024">
          <a:extLst>
            <a:ext uri="{FF2B5EF4-FFF2-40B4-BE49-F238E27FC236}">
              <a16:creationId xmlns:a16="http://schemas.microsoft.com/office/drawing/2014/main" id="{00000000-0008-0000-0000-00003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81" name="Line 1025">
          <a:extLst>
            <a:ext uri="{FF2B5EF4-FFF2-40B4-BE49-F238E27FC236}">
              <a16:creationId xmlns:a16="http://schemas.microsoft.com/office/drawing/2014/main" id="{00000000-0008-0000-0000-00003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82" name="Line 1026">
          <a:extLst>
            <a:ext uri="{FF2B5EF4-FFF2-40B4-BE49-F238E27FC236}">
              <a16:creationId xmlns:a16="http://schemas.microsoft.com/office/drawing/2014/main" id="{00000000-0008-0000-0000-00003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83" name="Line 1027">
          <a:extLst>
            <a:ext uri="{FF2B5EF4-FFF2-40B4-BE49-F238E27FC236}">
              <a16:creationId xmlns:a16="http://schemas.microsoft.com/office/drawing/2014/main" id="{00000000-0008-0000-0000-00003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84" name="Line 1028">
          <a:extLst>
            <a:ext uri="{FF2B5EF4-FFF2-40B4-BE49-F238E27FC236}">
              <a16:creationId xmlns:a16="http://schemas.microsoft.com/office/drawing/2014/main" id="{00000000-0008-0000-0000-00003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85" name="Line 1029">
          <a:extLst>
            <a:ext uri="{FF2B5EF4-FFF2-40B4-BE49-F238E27FC236}">
              <a16:creationId xmlns:a16="http://schemas.microsoft.com/office/drawing/2014/main" id="{00000000-0008-0000-0000-00003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86" name="Line 1030">
          <a:extLst>
            <a:ext uri="{FF2B5EF4-FFF2-40B4-BE49-F238E27FC236}">
              <a16:creationId xmlns:a16="http://schemas.microsoft.com/office/drawing/2014/main" id="{00000000-0008-0000-0000-00003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87" name="Line 1031">
          <a:extLst>
            <a:ext uri="{FF2B5EF4-FFF2-40B4-BE49-F238E27FC236}">
              <a16:creationId xmlns:a16="http://schemas.microsoft.com/office/drawing/2014/main" id="{00000000-0008-0000-0000-00003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88" name="Line 1032">
          <a:extLst>
            <a:ext uri="{FF2B5EF4-FFF2-40B4-BE49-F238E27FC236}">
              <a16:creationId xmlns:a16="http://schemas.microsoft.com/office/drawing/2014/main" id="{00000000-0008-0000-0000-00004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89" name="Line 1033">
          <a:extLst>
            <a:ext uri="{FF2B5EF4-FFF2-40B4-BE49-F238E27FC236}">
              <a16:creationId xmlns:a16="http://schemas.microsoft.com/office/drawing/2014/main" id="{00000000-0008-0000-0000-00004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90" name="Line 1034">
          <a:extLst>
            <a:ext uri="{FF2B5EF4-FFF2-40B4-BE49-F238E27FC236}">
              <a16:creationId xmlns:a16="http://schemas.microsoft.com/office/drawing/2014/main" id="{00000000-0008-0000-0000-00004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91" name="Line 1035">
          <a:extLst>
            <a:ext uri="{FF2B5EF4-FFF2-40B4-BE49-F238E27FC236}">
              <a16:creationId xmlns:a16="http://schemas.microsoft.com/office/drawing/2014/main" id="{00000000-0008-0000-0000-00004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92" name="Line 1036">
          <a:extLst>
            <a:ext uri="{FF2B5EF4-FFF2-40B4-BE49-F238E27FC236}">
              <a16:creationId xmlns:a16="http://schemas.microsoft.com/office/drawing/2014/main" id="{00000000-0008-0000-0000-00004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93" name="Line 1037">
          <a:extLst>
            <a:ext uri="{FF2B5EF4-FFF2-40B4-BE49-F238E27FC236}">
              <a16:creationId xmlns:a16="http://schemas.microsoft.com/office/drawing/2014/main" id="{00000000-0008-0000-0000-00004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94" name="Line 1038">
          <a:extLst>
            <a:ext uri="{FF2B5EF4-FFF2-40B4-BE49-F238E27FC236}">
              <a16:creationId xmlns:a16="http://schemas.microsoft.com/office/drawing/2014/main" id="{00000000-0008-0000-0000-00004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95" name="Line 1039">
          <a:extLst>
            <a:ext uri="{FF2B5EF4-FFF2-40B4-BE49-F238E27FC236}">
              <a16:creationId xmlns:a16="http://schemas.microsoft.com/office/drawing/2014/main" id="{00000000-0008-0000-0000-00004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96" name="Line 1040">
          <a:extLst>
            <a:ext uri="{FF2B5EF4-FFF2-40B4-BE49-F238E27FC236}">
              <a16:creationId xmlns:a16="http://schemas.microsoft.com/office/drawing/2014/main" id="{00000000-0008-0000-0000-00004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97" name="Line 1041">
          <a:extLst>
            <a:ext uri="{FF2B5EF4-FFF2-40B4-BE49-F238E27FC236}">
              <a16:creationId xmlns:a16="http://schemas.microsoft.com/office/drawing/2014/main" id="{00000000-0008-0000-0000-00004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498" name="Line 1042">
          <a:extLst>
            <a:ext uri="{FF2B5EF4-FFF2-40B4-BE49-F238E27FC236}">
              <a16:creationId xmlns:a16="http://schemas.microsoft.com/office/drawing/2014/main" id="{00000000-0008-0000-0000-00004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499" name="Line 1043">
          <a:extLst>
            <a:ext uri="{FF2B5EF4-FFF2-40B4-BE49-F238E27FC236}">
              <a16:creationId xmlns:a16="http://schemas.microsoft.com/office/drawing/2014/main" id="{00000000-0008-0000-0000-00004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00" name="Line 1044">
          <a:extLst>
            <a:ext uri="{FF2B5EF4-FFF2-40B4-BE49-F238E27FC236}">
              <a16:creationId xmlns:a16="http://schemas.microsoft.com/office/drawing/2014/main" id="{00000000-0008-0000-0000-00004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01" name="Line 1045">
          <a:extLst>
            <a:ext uri="{FF2B5EF4-FFF2-40B4-BE49-F238E27FC236}">
              <a16:creationId xmlns:a16="http://schemas.microsoft.com/office/drawing/2014/main" id="{00000000-0008-0000-0000-00004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02" name="Line 1046">
          <a:extLst>
            <a:ext uri="{FF2B5EF4-FFF2-40B4-BE49-F238E27FC236}">
              <a16:creationId xmlns:a16="http://schemas.microsoft.com/office/drawing/2014/main" id="{00000000-0008-0000-0000-00004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03" name="Line 1047">
          <a:extLst>
            <a:ext uri="{FF2B5EF4-FFF2-40B4-BE49-F238E27FC236}">
              <a16:creationId xmlns:a16="http://schemas.microsoft.com/office/drawing/2014/main" id="{00000000-0008-0000-0000-00004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04" name="Line 1048">
          <a:extLst>
            <a:ext uri="{FF2B5EF4-FFF2-40B4-BE49-F238E27FC236}">
              <a16:creationId xmlns:a16="http://schemas.microsoft.com/office/drawing/2014/main" id="{00000000-0008-0000-0000-00005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05" name="Line 1049">
          <a:extLst>
            <a:ext uri="{FF2B5EF4-FFF2-40B4-BE49-F238E27FC236}">
              <a16:creationId xmlns:a16="http://schemas.microsoft.com/office/drawing/2014/main" id="{00000000-0008-0000-0000-00005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06" name="Line 1050">
          <a:extLst>
            <a:ext uri="{FF2B5EF4-FFF2-40B4-BE49-F238E27FC236}">
              <a16:creationId xmlns:a16="http://schemas.microsoft.com/office/drawing/2014/main" id="{00000000-0008-0000-0000-00005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07" name="Line 1051">
          <a:extLst>
            <a:ext uri="{FF2B5EF4-FFF2-40B4-BE49-F238E27FC236}">
              <a16:creationId xmlns:a16="http://schemas.microsoft.com/office/drawing/2014/main" id="{00000000-0008-0000-0000-00005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08" name="Line 1052">
          <a:extLst>
            <a:ext uri="{FF2B5EF4-FFF2-40B4-BE49-F238E27FC236}">
              <a16:creationId xmlns:a16="http://schemas.microsoft.com/office/drawing/2014/main" id="{00000000-0008-0000-0000-00005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09" name="Line 1053">
          <a:extLst>
            <a:ext uri="{FF2B5EF4-FFF2-40B4-BE49-F238E27FC236}">
              <a16:creationId xmlns:a16="http://schemas.microsoft.com/office/drawing/2014/main" id="{00000000-0008-0000-0000-00005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10" name="Line 1054">
          <a:extLst>
            <a:ext uri="{FF2B5EF4-FFF2-40B4-BE49-F238E27FC236}">
              <a16:creationId xmlns:a16="http://schemas.microsoft.com/office/drawing/2014/main" id="{00000000-0008-0000-0000-00005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11" name="Line 1055">
          <a:extLst>
            <a:ext uri="{FF2B5EF4-FFF2-40B4-BE49-F238E27FC236}">
              <a16:creationId xmlns:a16="http://schemas.microsoft.com/office/drawing/2014/main" id="{00000000-0008-0000-0000-00005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12" name="Line 1056">
          <a:extLst>
            <a:ext uri="{FF2B5EF4-FFF2-40B4-BE49-F238E27FC236}">
              <a16:creationId xmlns:a16="http://schemas.microsoft.com/office/drawing/2014/main" id="{00000000-0008-0000-0000-00005821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13" name="Line 1057">
          <a:extLst>
            <a:ext uri="{FF2B5EF4-FFF2-40B4-BE49-F238E27FC236}">
              <a16:creationId xmlns:a16="http://schemas.microsoft.com/office/drawing/2014/main" id="{00000000-0008-0000-0000-00005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14" name="Line 1058">
          <a:extLst>
            <a:ext uri="{FF2B5EF4-FFF2-40B4-BE49-F238E27FC236}">
              <a16:creationId xmlns:a16="http://schemas.microsoft.com/office/drawing/2014/main" id="{00000000-0008-0000-0000-00005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15" name="Line 1059">
          <a:extLst>
            <a:ext uri="{FF2B5EF4-FFF2-40B4-BE49-F238E27FC236}">
              <a16:creationId xmlns:a16="http://schemas.microsoft.com/office/drawing/2014/main" id="{00000000-0008-0000-0000-00005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16" name="Line 1060">
          <a:extLst>
            <a:ext uri="{FF2B5EF4-FFF2-40B4-BE49-F238E27FC236}">
              <a16:creationId xmlns:a16="http://schemas.microsoft.com/office/drawing/2014/main" id="{00000000-0008-0000-0000-00005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17" name="Line 1061">
          <a:extLst>
            <a:ext uri="{FF2B5EF4-FFF2-40B4-BE49-F238E27FC236}">
              <a16:creationId xmlns:a16="http://schemas.microsoft.com/office/drawing/2014/main" id="{00000000-0008-0000-0000-00005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18" name="Line 1062">
          <a:extLst>
            <a:ext uri="{FF2B5EF4-FFF2-40B4-BE49-F238E27FC236}">
              <a16:creationId xmlns:a16="http://schemas.microsoft.com/office/drawing/2014/main" id="{00000000-0008-0000-0000-00005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19" name="Line 1063">
          <a:extLst>
            <a:ext uri="{FF2B5EF4-FFF2-40B4-BE49-F238E27FC236}">
              <a16:creationId xmlns:a16="http://schemas.microsoft.com/office/drawing/2014/main" id="{00000000-0008-0000-0000-00005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20" name="Line 1064">
          <a:extLst>
            <a:ext uri="{FF2B5EF4-FFF2-40B4-BE49-F238E27FC236}">
              <a16:creationId xmlns:a16="http://schemas.microsoft.com/office/drawing/2014/main" id="{00000000-0008-0000-0000-00006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21" name="Line 1065">
          <a:extLst>
            <a:ext uri="{FF2B5EF4-FFF2-40B4-BE49-F238E27FC236}">
              <a16:creationId xmlns:a16="http://schemas.microsoft.com/office/drawing/2014/main" id="{00000000-0008-0000-0000-00006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22" name="Line 1066">
          <a:extLst>
            <a:ext uri="{FF2B5EF4-FFF2-40B4-BE49-F238E27FC236}">
              <a16:creationId xmlns:a16="http://schemas.microsoft.com/office/drawing/2014/main" id="{00000000-0008-0000-0000-00006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23" name="Line 1067">
          <a:extLst>
            <a:ext uri="{FF2B5EF4-FFF2-40B4-BE49-F238E27FC236}">
              <a16:creationId xmlns:a16="http://schemas.microsoft.com/office/drawing/2014/main" id="{00000000-0008-0000-0000-00006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24" name="Line 1068">
          <a:extLst>
            <a:ext uri="{FF2B5EF4-FFF2-40B4-BE49-F238E27FC236}">
              <a16:creationId xmlns:a16="http://schemas.microsoft.com/office/drawing/2014/main" id="{00000000-0008-0000-0000-00006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25" name="Line 1069">
          <a:extLst>
            <a:ext uri="{FF2B5EF4-FFF2-40B4-BE49-F238E27FC236}">
              <a16:creationId xmlns:a16="http://schemas.microsoft.com/office/drawing/2014/main" id="{00000000-0008-0000-0000-00006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26" name="Line 1070">
          <a:extLst>
            <a:ext uri="{FF2B5EF4-FFF2-40B4-BE49-F238E27FC236}">
              <a16:creationId xmlns:a16="http://schemas.microsoft.com/office/drawing/2014/main" id="{00000000-0008-0000-0000-00006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27" name="Line 1071">
          <a:extLst>
            <a:ext uri="{FF2B5EF4-FFF2-40B4-BE49-F238E27FC236}">
              <a16:creationId xmlns:a16="http://schemas.microsoft.com/office/drawing/2014/main" id="{00000000-0008-0000-0000-00006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28" name="Line 1072">
          <a:extLst>
            <a:ext uri="{FF2B5EF4-FFF2-40B4-BE49-F238E27FC236}">
              <a16:creationId xmlns:a16="http://schemas.microsoft.com/office/drawing/2014/main" id="{00000000-0008-0000-0000-00006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29" name="Line 1073">
          <a:extLst>
            <a:ext uri="{FF2B5EF4-FFF2-40B4-BE49-F238E27FC236}">
              <a16:creationId xmlns:a16="http://schemas.microsoft.com/office/drawing/2014/main" id="{00000000-0008-0000-0000-00006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30" name="Line 1074">
          <a:extLst>
            <a:ext uri="{FF2B5EF4-FFF2-40B4-BE49-F238E27FC236}">
              <a16:creationId xmlns:a16="http://schemas.microsoft.com/office/drawing/2014/main" id="{00000000-0008-0000-0000-00006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31" name="Line 1075">
          <a:extLst>
            <a:ext uri="{FF2B5EF4-FFF2-40B4-BE49-F238E27FC236}">
              <a16:creationId xmlns:a16="http://schemas.microsoft.com/office/drawing/2014/main" id="{00000000-0008-0000-0000-00006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32" name="Line 1076">
          <a:extLst>
            <a:ext uri="{FF2B5EF4-FFF2-40B4-BE49-F238E27FC236}">
              <a16:creationId xmlns:a16="http://schemas.microsoft.com/office/drawing/2014/main" id="{00000000-0008-0000-0000-00006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33" name="Line 1077">
          <a:extLst>
            <a:ext uri="{FF2B5EF4-FFF2-40B4-BE49-F238E27FC236}">
              <a16:creationId xmlns:a16="http://schemas.microsoft.com/office/drawing/2014/main" id="{00000000-0008-0000-0000-00006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34" name="Line 1078">
          <a:extLst>
            <a:ext uri="{FF2B5EF4-FFF2-40B4-BE49-F238E27FC236}">
              <a16:creationId xmlns:a16="http://schemas.microsoft.com/office/drawing/2014/main" id="{00000000-0008-0000-0000-00006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35" name="Line 1079">
          <a:extLst>
            <a:ext uri="{FF2B5EF4-FFF2-40B4-BE49-F238E27FC236}">
              <a16:creationId xmlns:a16="http://schemas.microsoft.com/office/drawing/2014/main" id="{00000000-0008-0000-0000-00006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36" name="Line 1080">
          <a:extLst>
            <a:ext uri="{FF2B5EF4-FFF2-40B4-BE49-F238E27FC236}">
              <a16:creationId xmlns:a16="http://schemas.microsoft.com/office/drawing/2014/main" id="{00000000-0008-0000-0000-00007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37" name="Line 1081">
          <a:extLst>
            <a:ext uri="{FF2B5EF4-FFF2-40B4-BE49-F238E27FC236}">
              <a16:creationId xmlns:a16="http://schemas.microsoft.com/office/drawing/2014/main" id="{00000000-0008-0000-0000-00007121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38" name="Line 1082">
          <a:extLst>
            <a:ext uri="{FF2B5EF4-FFF2-40B4-BE49-F238E27FC236}">
              <a16:creationId xmlns:a16="http://schemas.microsoft.com/office/drawing/2014/main" id="{00000000-0008-0000-0000-00007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39" name="Line 1083">
          <a:extLst>
            <a:ext uri="{FF2B5EF4-FFF2-40B4-BE49-F238E27FC236}">
              <a16:creationId xmlns:a16="http://schemas.microsoft.com/office/drawing/2014/main" id="{00000000-0008-0000-0000-00007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40" name="Line 1084">
          <a:extLst>
            <a:ext uri="{FF2B5EF4-FFF2-40B4-BE49-F238E27FC236}">
              <a16:creationId xmlns:a16="http://schemas.microsoft.com/office/drawing/2014/main" id="{00000000-0008-0000-0000-00007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41" name="Line 1085">
          <a:extLst>
            <a:ext uri="{FF2B5EF4-FFF2-40B4-BE49-F238E27FC236}">
              <a16:creationId xmlns:a16="http://schemas.microsoft.com/office/drawing/2014/main" id="{00000000-0008-0000-0000-00007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42" name="Line 1086">
          <a:extLst>
            <a:ext uri="{FF2B5EF4-FFF2-40B4-BE49-F238E27FC236}">
              <a16:creationId xmlns:a16="http://schemas.microsoft.com/office/drawing/2014/main" id="{00000000-0008-0000-0000-00007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43" name="Line 1087">
          <a:extLst>
            <a:ext uri="{FF2B5EF4-FFF2-40B4-BE49-F238E27FC236}">
              <a16:creationId xmlns:a16="http://schemas.microsoft.com/office/drawing/2014/main" id="{00000000-0008-0000-0000-00007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44" name="Line 1088">
          <a:extLst>
            <a:ext uri="{FF2B5EF4-FFF2-40B4-BE49-F238E27FC236}">
              <a16:creationId xmlns:a16="http://schemas.microsoft.com/office/drawing/2014/main" id="{00000000-0008-0000-0000-00007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45" name="Line 1089">
          <a:extLst>
            <a:ext uri="{FF2B5EF4-FFF2-40B4-BE49-F238E27FC236}">
              <a16:creationId xmlns:a16="http://schemas.microsoft.com/office/drawing/2014/main" id="{00000000-0008-0000-0000-00007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46" name="Line 1090">
          <a:extLst>
            <a:ext uri="{FF2B5EF4-FFF2-40B4-BE49-F238E27FC236}">
              <a16:creationId xmlns:a16="http://schemas.microsoft.com/office/drawing/2014/main" id="{00000000-0008-0000-0000-00007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47" name="Line 1091">
          <a:extLst>
            <a:ext uri="{FF2B5EF4-FFF2-40B4-BE49-F238E27FC236}">
              <a16:creationId xmlns:a16="http://schemas.microsoft.com/office/drawing/2014/main" id="{00000000-0008-0000-0000-00007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48" name="Line 1092">
          <a:extLst>
            <a:ext uri="{FF2B5EF4-FFF2-40B4-BE49-F238E27FC236}">
              <a16:creationId xmlns:a16="http://schemas.microsoft.com/office/drawing/2014/main" id="{00000000-0008-0000-0000-00007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49" name="Line 1093">
          <a:extLst>
            <a:ext uri="{FF2B5EF4-FFF2-40B4-BE49-F238E27FC236}">
              <a16:creationId xmlns:a16="http://schemas.microsoft.com/office/drawing/2014/main" id="{00000000-0008-0000-0000-00007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50" name="Line 1094">
          <a:extLst>
            <a:ext uri="{FF2B5EF4-FFF2-40B4-BE49-F238E27FC236}">
              <a16:creationId xmlns:a16="http://schemas.microsoft.com/office/drawing/2014/main" id="{00000000-0008-0000-0000-00007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51" name="Line 1095">
          <a:extLst>
            <a:ext uri="{FF2B5EF4-FFF2-40B4-BE49-F238E27FC236}">
              <a16:creationId xmlns:a16="http://schemas.microsoft.com/office/drawing/2014/main" id="{00000000-0008-0000-0000-00007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52" name="Line 1096">
          <a:extLst>
            <a:ext uri="{FF2B5EF4-FFF2-40B4-BE49-F238E27FC236}">
              <a16:creationId xmlns:a16="http://schemas.microsoft.com/office/drawing/2014/main" id="{00000000-0008-0000-0000-00008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53" name="Line 1097">
          <a:extLst>
            <a:ext uri="{FF2B5EF4-FFF2-40B4-BE49-F238E27FC236}">
              <a16:creationId xmlns:a16="http://schemas.microsoft.com/office/drawing/2014/main" id="{00000000-0008-0000-0000-00008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54" name="Line 1098">
          <a:extLst>
            <a:ext uri="{FF2B5EF4-FFF2-40B4-BE49-F238E27FC236}">
              <a16:creationId xmlns:a16="http://schemas.microsoft.com/office/drawing/2014/main" id="{00000000-0008-0000-0000-00008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55" name="Line 1099">
          <a:extLst>
            <a:ext uri="{FF2B5EF4-FFF2-40B4-BE49-F238E27FC236}">
              <a16:creationId xmlns:a16="http://schemas.microsoft.com/office/drawing/2014/main" id="{00000000-0008-0000-0000-00008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56" name="Line 1100">
          <a:extLst>
            <a:ext uri="{FF2B5EF4-FFF2-40B4-BE49-F238E27FC236}">
              <a16:creationId xmlns:a16="http://schemas.microsoft.com/office/drawing/2014/main" id="{00000000-0008-0000-0000-00008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57" name="Line 1101">
          <a:extLst>
            <a:ext uri="{FF2B5EF4-FFF2-40B4-BE49-F238E27FC236}">
              <a16:creationId xmlns:a16="http://schemas.microsoft.com/office/drawing/2014/main" id="{00000000-0008-0000-0000-00008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58" name="Line 1102">
          <a:extLst>
            <a:ext uri="{FF2B5EF4-FFF2-40B4-BE49-F238E27FC236}">
              <a16:creationId xmlns:a16="http://schemas.microsoft.com/office/drawing/2014/main" id="{00000000-0008-0000-0000-00008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59" name="Line 1103">
          <a:extLst>
            <a:ext uri="{FF2B5EF4-FFF2-40B4-BE49-F238E27FC236}">
              <a16:creationId xmlns:a16="http://schemas.microsoft.com/office/drawing/2014/main" id="{00000000-0008-0000-0000-00008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60" name="Line 1104">
          <a:extLst>
            <a:ext uri="{FF2B5EF4-FFF2-40B4-BE49-F238E27FC236}">
              <a16:creationId xmlns:a16="http://schemas.microsoft.com/office/drawing/2014/main" id="{00000000-0008-0000-0000-00008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61" name="Line 1105">
          <a:extLst>
            <a:ext uri="{FF2B5EF4-FFF2-40B4-BE49-F238E27FC236}">
              <a16:creationId xmlns:a16="http://schemas.microsoft.com/office/drawing/2014/main" id="{00000000-0008-0000-0000-00008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62" name="Line 1106">
          <a:extLst>
            <a:ext uri="{FF2B5EF4-FFF2-40B4-BE49-F238E27FC236}">
              <a16:creationId xmlns:a16="http://schemas.microsoft.com/office/drawing/2014/main" id="{00000000-0008-0000-0000-00008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63" name="Line 1107">
          <a:extLst>
            <a:ext uri="{FF2B5EF4-FFF2-40B4-BE49-F238E27FC236}">
              <a16:creationId xmlns:a16="http://schemas.microsoft.com/office/drawing/2014/main" id="{00000000-0008-0000-0000-00008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64" name="Line 1108">
          <a:extLst>
            <a:ext uri="{FF2B5EF4-FFF2-40B4-BE49-F238E27FC236}">
              <a16:creationId xmlns:a16="http://schemas.microsoft.com/office/drawing/2014/main" id="{00000000-0008-0000-0000-00008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65" name="Line 1109">
          <a:extLst>
            <a:ext uri="{FF2B5EF4-FFF2-40B4-BE49-F238E27FC236}">
              <a16:creationId xmlns:a16="http://schemas.microsoft.com/office/drawing/2014/main" id="{00000000-0008-0000-0000-00008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66" name="Line 1110">
          <a:extLst>
            <a:ext uri="{FF2B5EF4-FFF2-40B4-BE49-F238E27FC236}">
              <a16:creationId xmlns:a16="http://schemas.microsoft.com/office/drawing/2014/main" id="{00000000-0008-0000-0000-00008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67" name="Line 1111">
          <a:extLst>
            <a:ext uri="{FF2B5EF4-FFF2-40B4-BE49-F238E27FC236}">
              <a16:creationId xmlns:a16="http://schemas.microsoft.com/office/drawing/2014/main" id="{00000000-0008-0000-0000-00008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68" name="Line 1112">
          <a:extLst>
            <a:ext uri="{FF2B5EF4-FFF2-40B4-BE49-F238E27FC236}">
              <a16:creationId xmlns:a16="http://schemas.microsoft.com/office/drawing/2014/main" id="{00000000-0008-0000-0000-00009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69" name="Line 1113">
          <a:extLst>
            <a:ext uri="{FF2B5EF4-FFF2-40B4-BE49-F238E27FC236}">
              <a16:creationId xmlns:a16="http://schemas.microsoft.com/office/drawing/2014/main" id="{00000000-0008-0000-0000-00009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70" name="Line 1114">
          <a:extLst>
            <a:ext uri="{FF2B5EF4-FFF2-40B4-BE49-F238E27FC236}">
              <a16:creationId xmlns:a16="http://schemas.microsoft.com/office/drawing/2014/main" id="{00000000-0008-0000-0000-00009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71" name="Line 1115">
          <a:extLst>
            <a:ext uri="{FF2B5EF4-FFF2-40B4-BE49-F238E27FC236}">
              <a16:creationId xmlns:a16="http://schemas.microsoft.com/office/drawing/2014/main" id="{00000000-0008-0000-0000-00009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72" name="Line 1116">
          <a:extLst>
            <a:ext uri="{FF2B5EF4-FFF2-40B4-BE49-F238E27FC236}">
              <a16:creationId xmlns:a16="http://schemas.microsoft.com/office/drawing/2014/main" id="{00000000-0008-0000-0000-00009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73" name="Line 1117">
          <a:extLst>
            <a:ext uri="{FF2B5EF4-FFF2-40B4-BE49-F238E27FC236}">
              <a16:creationId xmlns:a16="http://schemas.microsoft.com/office/drawing/2014/main" id="{00000000-0008-0000-0000-00009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74" name="Line 1118">
          <a:extLst>
            <a:ext uri="{FF2B5EF4-FFF2-40B4-BE49-F238E27FC236}">
              <a16:creationId xmlns:a16="http://schemas.microsoft.com/office/drawing/2014/main" id="{00000000-0008-0000-0000-00009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75" name="Line 1119">
          <a:extLst>
            <a:ext uri="{FF2B5EF4-FFF2-40B4-BE49-F238E27FC236}">
              <a16:creationId xmlns:a16="http://schemas.microsoft.com/office/drawing/2014/main" id="{00000000-0008-0000-0000-00009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76" name="Line 1120">
          <a:extLst>
            <a:ext uri="{FF2B5EF4-FFF2-40B4-BE49-F238E27FC236}">
              <a16:creationId xmlns:a16="http://schemas.microsoft.com/office/drawing/2014/main" id="{00000000-0008-0000-0000-00009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77" name="Line 1121">
          <a:extLst>
            <a:ext uri="{FF2B5EF4-FFF2-40B4-BE49-F238E27FC236}">
              <a16:creationId xmlns:a16="http://schemas.microsoft.com/office/drawing/2014/main" id="{00000000-0008-0000-0000-00009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78" name="Line 1122">
          <a:extLst>
            <a:ext uri="{FF2B5EF4-FFF2-40B4-BE49-F238E27FC236}">
              <a16:creationId xmlns:a16="http://schemas.microsoft.com/office/drawing/2014/main" id="{00000000-0008-0000-0000-00009A21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79" name="Line 1123">
          <a:extLst>
            <a:ext uri="{FF2B5EF4-FFF2-40B4-BE49-F238E27FC236}">
              <a16:creationId xmlns:a16="http://schemas.microsoft.com/office/drawing/2014/main" id="{00000000-0008-0000-0000-00009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80" name="Line 1124">
          <a:extLst>
            <a:ext uri="{FF2B5EF4-FFF2-40B4-BE49-F238E27FC236}">
              <a16:creationId xmlns:a16="http://schemas.microsoft.com/office/drawing/2014/main" id="{00000000-0008-0000-0000-00009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81" name="Line 1125">
          <a:extLst>
            <a:ext uri="{FF2B5EF4-FFF2-40B4-BE49-F238E27FC236}">
              <a16:creationId xmlns:a16="http://schemas.microsoft.com/office/drawing/2014/main" id="{00000000-0008-0000-0000-00009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82" name="Line 1126">
          <a:extLst>
            <a:ext uri="{FF2B5EF4-FFF2-40B4-BE49-F238E27FC236}">
              <a16:creationId xmlns:a16="http://schemas.microsoft.com/office/drawing/2014/main" id="{00000000-0008-0000-0000-00009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83" name="Line 1127">
          <a:extLst>
            <a:ext uri="{FF2B5EF4-FFF2-40B4-BE49-F238E27FC236}">
              <a16:creationId xmlns:a16="http://schemas.microsoft.com/office/drawing/2014/main" id="{00000000-0008-0000-0000-00009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84" name="Line 1128">
          <a:extLst>
            <a:ext uri="{FF2B5EF4-FFF2-40B4-BE49-F238E27FC236}">
              <a16:creationId xmlns:a16="http://schemas.microsoft.com/office/drawing/2014/main" id="{00000000-0008-0000-0000-0000A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85" name="Line 1129">
          <a:extLst>
            <a:ext uri="{FF2B5EF4-FFF2-40B4-BE49-F238E27FC236}">
              <a16:creationId xmlns:a16="http://schemas.microsoft.com/office/drawing/2014/main" id="{00000000-0008-0000-0000-0000A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86" name="Line 1130">
          <a:extLst>
            <a:ext uri="{FF2B5EF4-FFF2-40B4-BE49-F238E27FC236}">
              <a16:creationId xmlns:a16="http://schemas.microsoft.com/office/drawing/2014/main" id="{00000000-0008-0000-0000-0000A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87" name="Line 1131">
          <a:extLst>
            <a:ext uri="{FF2B5EF4-FFF2-40B4-BE49-F238E27FC236}">
              <a16:creationId xmlns:a16="http://schemas.microsoft.com/office/drawing/2014/main" id="{00000000-0008-0000-0000-0000A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88" name="Line 1132">
          <a:extLst>
            <a:ext uri="{FF2B5EF4-FFF2-40B4-BE49-F238E27FC236}">
              <a16:creationId xmlns:a16="http://schemas.microsoft.com/office/drawing/2014/main" id="{00000000-0008-0000-0000-0000A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89" name="Line 1133">
          <a:extLst>
            <a:ext uri="{FF2B5EF4-FFF2-40B4-BE49-F238E27FC236}">
              <a16:creationId xmlns:a16="http://schemas.microsoft.com/office/drawing/2014/main" id="{00000000-0008-0000-0000-0000A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90" name="Line 1134">
          <a:extLst>
            <a:ext uri="{FF2B5EF4-FFF2-40B4-BE49-F238E27FC236}">
              <a16:creationId xmlns:a16="http://schemas.microsoft.com/office/drawing/2014/main" id="{00000000-0008-0000-0000-0000A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91" name="Line 1135">
          <a:extLst>
            <a:ext uri="{FF2B5EF4-FFF2-40B4-BE49-F238E27FC236}">
              <a16:creationId xmlns:a16="http://schemas.microsoft.com/office/drawing/2014/main" id="{00000000-0008-0000-0000-0000A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92" name="Line 1136">
          <a:extLst>
            <a:ext uri="{FF2B5EF4-FFF2-40B4-BE49-F238E27FC236}">
              <a16:creationId xmlns:a16="http://schemas.microsoft.com/office/drawing/2014/main" id="{00000000-0008-0000-0000-0000A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93" name="Line 1137">
          <a:extLst>
            <a:ext uri="{FF2B5EF4-FFF2-40B4-BE49-F238E27FC236}">
              <a16:creationId xmlns:a16="http://schemas.microsoft.com/office/drawing/2014/main" id="{00000000-0008-0000-0000-0000A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94" name="Line 1138">
          <a:extLst>
            <a:ext uri="{FF2B5EF4-FFF2-40B4-BE49-F238E27FC236}">
              <a16:creationId xmlns:a16="http://schemas.microsoft.com/office/drawing/2014/main" id="{00000000-0008-0000-0000-0000A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95" name="Line 1139">
          <a:extLst>
            <a:ext uri="{FF2B5EF4-FFF2-40B4-BE49-F238E27FC236}">
              <a16:creationId xmlns:a16="http://schemas.microsoft.com/office/drawing/2014/main" id="{00000000-0008-0000-0000-0000A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96" name="Line 1140">
          <a:extLst>
            <a:ext uri="{FF2B5EF4-FFF2-40B4-BE49-F238E27FC236}">
              <a16:creationId xmlns:a16="http://schemas.microsoft.com/office/drawing/2014/main" id="{00000000-0008-0000-0000-0000A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597" name="Line 1141">
          <a:extLst>
            <a:ext uri="{FF2B5EF4-FFF2-40B4-BE49-F238E27FC236}">
              <a16:creationId xmlns:a16="http://schemas.microsoft.com/office/drawing/2014/main" id="{00000000-0008-0000-0000-0000A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98" name="Line 1142">
          <a:extLst>
            <a:ext uri="{FF2B5EF4-FFF2-40B4-BE49-F238E27FC236}">
              <a16:creationId xmlns:a16="http://schemas.microsoft.com/office/drawing/2014/main" id="{00000000-0008-0000-0000-0000A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599" name="Line 1143">
          <a:extLst>
            <a:ext uri="{FF2B5EF4-FFF2-40B4-BE49-F238E27FC236}">
              <a16:creationId xmlns:a16="http://schemas.microsoft.com/office/drawing/2014/main" id="{00000000-0008-0000-0000-0000A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00" name="Line 1144">
          <a:extLst>
            <a:ext uri="{FF2B5EF4-FFF2-40B4-BE49-F238E27FC236}">
              <a16:creationId xmlns:a16="http://schemas.microsoft.com/office/drawing/2014/main" id="{00000000-0008-0000-0000-0000B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01" name="Line 1145">
          <a:extLst>
            <a:ext uri="{FF2B5EF4-FFF2-40B4-BE49-F238E27FC236}">
              <a16:creationId xmlns:a16="http://schemas.microsoft.com/office/drawing/2014/main" id="{00000000-0008-0000-0000-0000B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02" name="Line 1146">
          <a:extLst>
            <a:ext uri="{FF2B5EF4-FFF2-40B4-BE49-F238E27FC236}">
              <a16:creationId xmlns:a16="http://schemas.microsoft.com/office/drawing/2014/main" id="{00000000-0008-0000-0000-0000B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03" name="Line 1147">
          <a:extLst>
            <a:ext uri="{FF2B5EF4-FFF2-40B4-BE49-F238E27FC236}">
              <a16:creationId xmlns:a16="http://schemas.microsoft.com/office/drawing/2014/main" id="{00000000-0008-0000-0000-0000B321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04" name="Line 1148">
          <a:extLst>
            <a:ext uri="{FF2B5EF4-FFF2-40B4-BE49-F238E27FC236}">
              <a16:creationId xmlns:a16="http://schemas.microsoft.com/office/drawing/2014/main" id="{00000000-0008-0000-0000-0000B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05" name="Line 1149">
          <a:extLst>
            <a:ext uri="{FF2B5EF4-FFF2-40B4-BE49-F238E27FC236}">
              <a16:creationId xmlns:a16="http://schemas.microsoft.com/office/drawing/2014/main" id="{00000000-0008-0000-0000-0000B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06" name="Line 1150">
          <a:extLst>
            <a:ext uri="{FF2B5EF4-FFF2-40B4-BE49-F238E27FC236}">
              <a16:creationId xmlns:a16="http://schemas.microsoft.com/office/drawing/2014/main" id="{00000000-0008-0000-0000-0000B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07" name="Line 1151">
          <a:extLst>
            <a:ext uri="{FF2B5EF4-FFF2-40B4-BE49-F238E27FC236}">
              <a16:creationId xmlns:a16="http://schemas.microsoft.com/office/drawing/2014/main" id="{00000000-0008-0000-0000-0000B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08" name="Line 1152">
          <a:extLst>
            <a:ext uri="{FF2B5EF4-FFF2-40B4-BE49-F238E27FC236}">
              <a16:creationId xmlns:a16="http://schemas.microsoft.com/office/drawing/2014/main" id="{00000000-0008-0000-0000-0000B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09" name="Line 1153">
          <a:extLst>
            <a:ext uri="{FF2B5EF4-FFF2-40B4-BE49-F238E27FC236}">
              <a16:creationId xmlns:a16="http://schemas.microsoft.com/office/drawing/2014/main" id="{00000000-0008-0000-0000-0000B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10" name="Line 1154">
          <a:extLst>
            <a:ext uri="{FF2B5EF4-FFF2-40B4-BE49-F238E27FC236}">
              <a16:creationId xmlns:a16="http://schemas.microsoft.com/office/drawing/2014/main" id="{00000000-0008-0000-0000-0000B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11" name="Line 1155">
          <a:extLst>
            <a:ext uri="{FF2B5EF4-FFF2-40B4-BE49-F238E27FC236}">
              <a16:creationId xmlns:a16="http://schemas.microsoft.com/office/drawing/2014/main" id="{00000000-0008-0000-0000-0000B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12" name="Line 1156">
          <a:extLst>
            <a:ext uri="{FF2B5EF4-FFF2-40B4-BE49-F238E27FC236}">
              <a16:creationId xmlns:a16="http://schemas.microsoft.com/office/drawing/2014/main" id="{00000000-0008-0000-0000-0000B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13" name="Line 1157">
          <a:extLst>
            <a:ext uri="{FF2B5EF4-FFF2-40B4-BE49-F238E27FC236}">
              <a16:creationId xmlns:a16="http://schemas.microsoft.com/office/drawing/2014/main" id="{00000000-0008-0000-0000-0000B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14" name="Line 1158">
          <a:extLst>
            <a:ext uri="{FF2B5EF4-FFF2-40B4-BE49-F238E27FC236}">
              <a16:creationId xmlns:a16="http://schemas.microsoft.com/office/drawing/2014/main" id="{00000000-0008-0000-0000-0000B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15" name="Line 1159">
          <a:extLst>
            <a:ext uri="{FF2B5EF4-FFF2-40B4-BE49-F238E27FC236}">
              <a16:creationId xmlns:a16="http://schemas.microsoft.com/office/drawing/2014/main" id="{00000000-0008-0000-0000-0000B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16" name="Line 1160">
          <a:extLst>
            <a:ext uri="{FF2B5EF4-FFF2-40B4-BE49-F238E27FC236}">
              <a16:creationId xmlns:a16="http://schemas.microsoft.com/office/drawing/2014/main" id="{00000000-0008-0000-0000-0000C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17" name="Line 1161">
          <a:extLst>
            <a:ext uri="{FF2B5EF4-FFF2-40B4-BE49-F238E27FC236}">
              <a16:creationId xmlns:a16="http://schemas.microsoft.com/office/drawing/2014/main" id="{00000000-0008-0000-0000-0000C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18" name="Line 1162">
          <a:extLst>
            <a:ext uri="{FF2B5EF4-FFF2-40B4-BE49-F238E27FC236}">
              <a16:creationId xmlns:a16="http://schemas.microsoft.com/office/drawing/2014/main" id="{00000000-0008-0000-0000-0000C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19" name="Line 1163">
          <a:extLst>
            <a:ext uri="{FF2B5EF4-FFF2-40B4-BE49-F238E27FC236}">
              <a16:creationId xmlns:a16="http://schemas.microsoft.com/office/drawing/2014/main" id="{00000000-0008-0000-0000-0000C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20" name="Line 1164">
          <a:extLst>
            <a:ext uri="{FF2B5EF4-FFF2-40B4-BE49-F238E27FC236}">
              <a16:creationId xmlns:a16="http://schemas.microsoft.com/office/drawing/2014/main" id="{00000000-0008-0000-0000-0000C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21" name="Line 1165">
          <a:extLst>
            <a:ext uri="{FF2B5EF4-FFF2-40B4-BE49-F238E27FC236}">
              <a16:creationId xmlns:a16="http://schemas.microsoft.com/office/drawing/2014/main" id="{00000000-0008-0000-0000-0000C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22" name="Line 1166">
          <a:extLst>
            <a:ext uri="{FF2B5EF4-FFF2-40B4-BE49-F238E27FC236}">
              <a16:creationId xmlns:a16="http://schemas.microsoft.com/office/drawing/2014/main" id="{00000000-0008-0000-0000-0000C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23" name="Line 1167">
          <a:extLst>
            <a:ext uri="{FF2B5EF4-FFF2-40B4-BE49-F238E27FC236}">
              <a16:creationId xmlns:a16="http://schemas.microsoft.com/office/drawing/2014/main" id="{00000000-0008-0000-0000-0000C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24" name="Line 1168">
          <a:extLst>
            <a:ext uri="{FF2B5EF4-FFF2-40B4-BE49-F238E27FC236}">
              <a16:creationId xmlns:a16="http://schemas.microsoft.com/office/drawing/2014/main" id="{00000000-0008-0000-0000-0000C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25" name="Line 1169">
          <a:extLst>
            <a:ext uri="{FF2B5EF4-FFF2-40B4-BE49-F238E27FC236}">
              <a16:creationId xmlns:a16="http://schemas.microsoft.com/office/drawing/2014/main" id="{00000000-0008-0000-0000-0000C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26" name="Line 1170">
          <a:extLst>
            <a:ext uri="{FF2B5EF4-FFF2-40B4-BE49-F238E27FC236}">
              <a16:creationId xmlns:a16="http://schemas.microsoft.com/office/drawing/2014/main" id="{00000000-0008-0000-0000-0000C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27" name="Line 1171">
          <a:extLst>
            <a:ext uri="{FF2B5EF4-FFF2-40B4-BE49-F238E27FC236}">
              <a16:creationId xmlns:a16="http://schemas.microsoft.com/office/drawing/2014/main" id="{00000000-0008-0000-0000-0000C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28" name="Line 1172">
          <a:extLst>
            <a:ext uri="{FF2B5EF4-FFF2-40B4-BE49-F238E27FC236}">
              <a16:creationId xmlns:a16="http://schemas.microsoft.com/office/drawing/2014/main" id="{00000000-0008-0000-0000-0000C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29" name="Line 1173">
          <a:extLst>
            <a:ext uri="{FF2B5EF4-FFF2-40B4-BE49-F238E27FC236}">
              <a16:creationId xmlns:a16="http://schemas.microsoft.com/office/drawing/2014/main" id="{00000000-0008-0000-0000-0000C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30" name="Line 1174">
          <a:extLst>
            <a:ext uri="{FF2B5EF4-FFF2-40B4-BE49-F238E27FC236}">
              <a16:creationId xmlns:a16="http://schemas.microsoft.com/office/drawing/2014/main" id="{00000000-0008-0000-0000-0000C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31" name="Line 1175">
          <a:extLst>
            <a:ext uri="{FF2B5EF4-FFF2-40B4-BE49-F238E27FC236}">
              <a16:creationId xmlns:a16="http://schemas.microsoft.com/office/drawing/2014/main" id="{00000000-0008-0000-0000-0000C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32" name="Line 1176">
          <a:extLst>
            <a:ext uri="{FF2B5EF4-FFF2-40B4-BE49-F238E27FC236}">
              <a16:creationId xmlns:a16="http://schemas.microsoft.com/office/drawing/2014/main" id="{00000000-0008-0000-0000-0000D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33" name="Line 1177">
          <a:extLst>
            <a:ext uri="{FF2B5EF4-FFF2-40B4-BE49-F238E27FC236}">
              <a16:creationId xmlns:a16="http://schemas.microsoft.com/office/drawing/2014/main" id="{00000000-0008-0000-0000-0000D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34" name="Line 1178">
          <a:extLst>
            <a:ext uri="{FF2B5EF4-FFF2-40B4-BE49-F238E27FC236}">
              <a16:creationId xmlns:a16="http://schemas.microsoft.com/office/drawing/2014/main" id="{00000000-0008-0000-0000-0000D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35" name="Line 1179">
          <a:extLst>
            <a:ext uri="{FF2B5EF4-FFF2-40B4-BE49-F238E27FC236}">
              <a16:creationId xmlns:a16="http://schemas.microsoft.com/office/drawing/2014/main" id="{00000000-0008-0000-0000-0000D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36" name="Line 1180">
          <a:extLst>
            <a:ext uri="{FF2B5EF4-FFF2-40B4-BE49-F238E27FC236}">
              <a16:creationId xmlns:a16="http://schemas.microsoft.com/office/drawing/2014/main" id="{00000000-0008-0000-0000-0000D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37" name="Line 1181">
          <a:extLst>
            <a:ext uri="{FF2B5EF4-FFF2-40B4-BE49-F238E27FC236}">
              <a16:creationId xmlns:a16="http://schemas.microsoft.com/office/drawing/2014/main" id="{00000000-0008-0000-0000-0000D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38" name="Line 1182">
          <a:extLst>
            <a:ext uri="{FF2B5EF4-FFF2-40B4-BE49-F238E27FC236}">
              <a16:creationId xmlns:a16="http://schemas.microsoft.com/office/drawing/2014/main" id="{00000000-0008-0000-0000-0000D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39" name="Line 1183">
          <a:extLst>
            <a:ext uri="{FF2B5EF4-FFF2-40B4-BE49-F238E27FC236}">
              <a16:creationId xmlns:a16="http://schemas.microsoft.com/office/drawing/2014/main" id="{00000000-0008-0000-0000-0000D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40" name="Line 1184">
          <a:extLst>
            <a:ext uri="{FF2B5EF4-FFF2-40B4-BE49-F238E27FC236}">
              <a16:creationId xmlns:a16="http://schemas.microsoft.com/office/drawing/2014/main" id="{00000000-0008-0000-0000-0000D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41" name="Line 1185">
          <a:extLst>
            <a:ext uri="{FF2B5EF4-FFF2-40B4-BE49-F238E27FC236}">
              <a16:creationId xmlns:a16="http://schemas.microsoft.com/office/drawing/2014/main" id="{00000000-0008-0000-0000-0000D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42" name="Line 1186">
          <a:extLst>
            <a:ext uri="{FF2B5EF4-FFF2-40B4-BE49-F238E27FC236}">
              <a16:creationId xmlns:a16="http://schemas.microsoft.com/office/drawing/2014/main" id="{00000000-0008-0000-0000-0000D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43" name="Line 1187">
          <a:extLst>
            <a:ext uri="{FF2B5EF4-FFF2-40B4-BE49-F238E27FC236}">
              <a16:creationId xmlns:a16="http://schemas.microsoft.com/office/drawing/2014/main" id="{00000000-0008-0000-0000-0000D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44" name="Line 1188">
          <a:extLst>
            <a:ext uri="{FF2B5EF4-FFF2-40B4-BE49-F238E27FC236}">
              <a16:creationId xmlns:a16="http://schemas.microsoft.com/office/drawing/2014/main" id="{00000000-0008-0000-0000-0000DC21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45" name="Line 1189">
          <a:extLst>
            <a:ext uri="{FF2B5EF4-FFF2-40B4-BE49-F238E27FC236}">
              <a16:creationId xmlns:a16="http://schemas.microsoft.com/office/drawing/2014/main" id="{00000000-0008-0000-0000-0000D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46" name="Line 1190">
          <a:extLst>
            <a:ext uri="{FF2B5EF4-FFF2-40B4-BE49-F238E27FC236}">
              <a16:creationId xmlns:a16="http://schemas.microsoft.com/office/drawing/2014/main" id="{00000000-0008-0000-0000-0000D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47" name="Line 1191">
          <a:extLst>
            <a:ext uri="{FF2B5EF4-FFF2-40B4-BE49-F238E27FC236}">
              <a16:creationId xmlns:a16="http://schemas.microsoft.com/office/drawing/2014/main" id="{00000000-0008-0000-0000-0000D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48" name="Line 1192">
          <a:extLst>
            <a:ext uri="{FF2B5EF4-FFF2-40B4-BE49-F238E27FC236}">
              <a16:creationId xmlns:a16="http://schemas.microsoft.com/office/drawing/2014/main" id="{00000000-0008-0000-0000-0000E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49" name="Line 1193">
          <a:extLst>
            <a:ext uri="{FF2B5EF4-FFF2-40B4-BE49-F238E27FC236}">
              <a16:creationId xmlns:a16="http://schemas.microsoft.com/office/drawing/2014/main" id="{00000000-0008-0000-0000-0000E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50" name="Line 1194">
          <a:extLst>
            <a:ext uri="{FF2B5EF4-FFF2-40B4-BE49-F238E27FC236}">
              <a16:creationId xmlns:a16="http://schemas.microsoft.com/office/drawing/2014/main" id="{00000000-0008-0000-0000-0000E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51" name="Line 1195">
          <a:extLst>
            <a:ext uri="{FF2B5EF4-FFF2-40B4-BE49-F238E27FC236}">
              <a16:creationId xmlns:a16="http://schemas.microsoft.com/office/drawing/2014/main" id="{00000000-0008-0000-0000-0000E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52" name="Line 1196">
          <a:extLst>
            <a:ext uri="{FF2B5EF4-FFF2-40B4-BE49-F238E27FC236}">
              <a16:creationId xmlns:a16="http://schemas.microsoft.com/office/drawing/2014/main" id="{00000000-0008-0000-0000-0000E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53" name="Line 1197">
          <a:extLst>
            <a:ext uri="{FF2B5EF4-FFF2-40B4-BE49-F238E27FC236}">
              <a16:creationId xmlns:a16="http://schemas.microsoft.com/office/drawing/2014/main" id="{00000000-0008-0000-0000-0000E5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54" name="Line 1198">
          <a:extLst>
            <a:ext uri="{FF2B5EF4-FFF2-40B4-BE49-F238E27FC236}">
              <a16:creationId xmlns:a16="http://schemas.microsoft.com/office/drawing/2014/main" id="{00000000-0008-0000-0000-0000E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55" name="Line 1199">
          <a:extLst>
            <a:ext uri="{FF2B5EF4-FFF2-40B4-BE49-F238E27FC236}">
              <a16:creationId xmlns:a16="http://schemas.microsoft.com/office/drawing/2014/main" id="{00000000-0008-0000-0000-0000E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56" name="Line 1200">
          <a:extLst>
            <a:ext uri="{FF2B5EF4-FFF2-40B4-BE49-F238E27FC236}">
              <a16:creationId xmlns:a16="http://schemas.microsoft.com/office/drawing/2014/main" id="{00000000-0008-0000-0000-0000E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57" name="Line 1201">
          <a:extLst>
            <a:ext uri="{FF2B5EF4-FFF2-40B4-BE49-F238E27FC236}">
              <a16:creationId xmlns:a16="http://schemas.microsoft.com/office/drawing/2014/main" id="{00000000-0008-0000-0000-0000E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58" name="Line 1202">
          <a:extLst>
            <a:ext uri="{FF2B5EF4-FFF2-40B4-BE49-F238E27FC236}">
              <a16:creationId xmlns:a16="http://schemas.microsoft.com/office/drawing/2014/main" id="{00000000-0008-0000-0000-0000E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59" name="Line 1203">
          <a:extLst>
            <a:ext uri="{FF2B5EF4-FFF2-40B4-BE49-F238E27FC236}">
              <a16:creationId xmlns:a16="http://schemas.microsoft.com/office/drawing/2014/main" id="{00000000-0008-0000-0000-0000E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60" name="Line 1204">
          <a:extLst>
            <a:ext uri="{FF2B5EF4-FFF2-40B4-BE49-F238E27FC236}">
              <a16:creationId xmlns:a16="http://schemas.microsoft.com/office/drawing/2014/main" id="{00000000-0008-0000-0000-0000E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61" name="Line 1205">
          <a:extLst>
            <a:ext uri="{FF2B5EF4-FFF2-40B4-BE49-F238E27FC236}">
              <a16:creationId xmlns:a16="http://schemas.microsoft.com/office/drawing/2014/main" id="{00000000-0008-0000-0000-0000E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62" name="Line 1206">
          <a:extLst>
            <a:ext uri="{FF2B5EF4-FFF2-40B4-BE49-F238E27FC236}">
              <a16:creationId xmlns:a16="http://schemas.microsoft.com/office/drawing/2014/main" id="{00000000-0008-0000-0000-0000E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63" name="Line 1207">
          <a:extLst>
            <a:ext uri="{FF2B5EF4-FFF2-40B4-BE49-F238E27FC236}">
              <a16:creationId xmlns:a16="http://schemas.microsoft.com/office/drawing/2014/main" id="{00000000-0008-0000-0000-0000E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64" name="Line 1208">
          <a:extLst>
            <a:ext uri="{FF2B5EF4-FFF2-40B4-BE49-F238E27FC236}">
              <a16:creationId xmlns:a16="http://schemas.microsoft.com/office/drawing/2014/main" id="{00000000-0008-0000-0000-0000F0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65" name="Line 1209">
          <a:extLst>
            <a:ext uri="{FF2B5EF4-FFF2-40B4-BE49-F238E27FC236}">
              <a16:creationId xmlns:a16="http://schemas.microsoft.com/office/drawing/2014/main" id="{00000000-0008-0000-0000-0000F1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66" name="Line 1210">
          <a:extLst>
            <a:ext uri="{FF2B5EF4-FFF2-40B4-BE49-F238E27FC236}">
              <a16:creationId xmlns:a16="http://schemas.microsoft.com/office/drawing/2014/main" id="{00000000-0008-0000-0000-0000F2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67" name="Line 1211">
          <a:extLst>
            <a:ext uri="{FF2B5EF4-FFF2-40B4-BE49-F238E27FC236}">
              <a16:creationId xmlns:a16="http://schemas.microsoft.com/office/drawing/2014/main" id="{00000000-0008-0000-0000-0000F3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68" name="Line 1212">
          <a:extLst>
            <a:ext uri="{FF2B5EF4-FFF2-40B4-BE49-F238E27FC236}">
              <a16:creationId xmlns:a16="http://schemas.microsoft.com/office/drawing/2014/main" id="{00000000-0008-0000-0000-0000F4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69" name="Line 1213">
          <a:extLst>
            <a:ext uri="{FF2B5EF4-FFF2-40B4-BE49-F238E27FC236}">
              <a16:creationId xmlns:a16="http://schemas.microsoft.com/office/drawing/2014/main" id="{00000000-0008-0000-0000-0000F521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70" name="Line 1214">
          <a:extLst>
            <a:ext uri="{FF2B5EF4-FFF2-40B4-BE49-F238E27FC236}">
              <a16:creationId xmlns:a16="http://schemas.microsoft.com/office/drawing/2014/main" id="{00000000-0008-0000-0000-0000F6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71" name="Line 1215">
          <a:extLst>
            <a:ext uri="{FF2B5EF4-FFF2-40B4-BE49-F238E27FC236}">
              <a16:creationId xmlns:a16="http://schemas.microsoft.com/office/drawing/2014/main" id="{00000000-0008-0000-0000-0000F7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72" name="Line 1216">
          <a:extLst>
            <a:ext uri="{FF2B5EF4-FFF2-40B4-BE49-F238E27FC236}">
              <a16:creationId xmlns:a16="http://schemas.microsoft.com/office/drawing/2014/main" id="{00000000-0008-0000-0000-0000F8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73" name="Line 1217">
          <a:extLst>
            <a:ext uri="{FF2B5EF4-FFF2-40B4-BE49-F238E27FC236}">
              <a16:creationId xmlns:a16="http://schemas.microsoft.com/office/drawing/2014/main" id="{00000000-0008-0000-0000-0000F9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74" name="Line 1218">
          <a:extLst>
            <a:ext uri="{FF2B5EF4-FFF2-40B4-BE49-F238E27FC236}">
              <a16:creationId xmlns:a16="http://schemas.microsoft.com/office/drawing/2014/main" id="{00000000-0008-0000-0000-0000FA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75" name="Line 1219">
          <a:extLst>
            <a:ext uri="{FF2B5EF4-FFF2-40B4-BE49-F238E27FC236}">
              <a16:creationId xmlns:a16="http://schemas.microsoft.com/office/drawing/2014/main" id="{00000000-0008-0000-0000-0000FB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76" name="Line 1220">
          <a:extLst>
            <a:ext uri="{FF2B5EF4-FFF2-40B4-BE49-F238E27FC236}">
              <a16:creationId xmlns:a16="http://schemas.microsoft.com/office/drawing/2014/main" id="{00000000-0008-0000-0000-0000FC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77" name="Line 1221">
          <a:extLst>
            <a:ext uri="{FF2B5EF4-FFF2-40B4-BE49-F238E27FC236}">
              <a16:creationId xmlns:a16="http://schemas.microsoft.com/office/drawing/2014/main" id="{00000000-0008-0000-0000-0000FD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78" name="Line 1222">
          <a:extLst>
            <a:ext uri="{FF2B5EF4-FFF2-40B4-BE49-F238E27FC236}">
              <a16:creationId xmlns:a16="http://schemas.microsoft.com/office/drawing/2014/main" id="{00000000-0008-0000-0000-0000FE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79" name="Line 1223">
          <a:extLst>
            <a:ext uri="{FF2B5EF4-FFF2-40B4-BE49-F238E27FC236}">
              <a16:creationId xmlns:a16="http://schemas.microsoft.com/office/drawing/2014/main" id="{00000000-0008-0000-0000-0000FF21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80" name="Line 1224">
          <a:extLst>
            <a:ext uri="{FF2B5EF4-FFF2-40B4-BE49-F238E27FC236}">
              <a16:creationId xmlns:a16="http://schemas.microsoft.com/office/drawing/2014/main" id="{00000000-0008-0000-0000-00000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81" name="Line 1225">
          <a:extLst>
            <a:ext uri="{FF2B5EF4-FFF2-40B4-BE49-F238E27FC236}">
              <a16:creationId xmlns:a16="http://schemas.microsoft.com/office/drawing/2014/main" id="{00000000-0008-0000-0000-00000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82" name="Line 1226">
          <a:extLst>
            <a:ext uri="{FF2B5EF4-FFF2-40B4-BE49-F238E27FC236}">
              <a16:creationId xmlns:a16="http://schemas.microsoft.com/office/drawing/2014/main" id="{00000000-0008-0000-0000-00000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83" name="Line 1227">
          <a:extLst>
            <a:ext uri="{FF2B5EF4-FFF2-40B4-BE49-F238E27FC236}">
              <a16:creationId xmlns:a16="http://schemas.microsoft.com/office/drawing/2014/main" id="{00000000-0008-0000-0000-00000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84" name="Line 1228">
          <a:extLst>
            <a:ext uri="{FF2B5EF4-FFF2-40B4-BE49-F238E27FC236}">
              <a16:creationId xmlns:a16="http://schemas.microsoft.com/office/drawing/2014/main" id="{00000000-0008-0000-0000-00000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85" name="Line 1229">
          <a:extLst>
            <a:ext uri="{FF2B5EF4-FFF2-40B4-BE49-F238E27FC236}">
              <a16:creationId xmlns:a16="http://schemas.microsoft.com/office/drawing/2014/main" id="{00000000-0008-0000-0000-00000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86" name="Line 1230">
          <a:extLst>
            <a:ext uri="{FF2B5EF4-FFF2-40B4-BE49-F238E27FC236}">
              <a16:creationId xmlns:a16="http://schemas.microsoft.com/office/drawing/2014/main" id="{00000000-0008-0000-0000-00000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87" name="Line 1231">
          <a:extLst>
            <a:ext uri="{FF2B5EF4-FFF2-40B4-BE49-F238E27FC236}">
              <a16:creationId xmlns:a16="http://schemas.microsoft.com/office/drawing/2014/main" id="{00000000-0008-0000-0000-00000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88" name="Line 1232">
          <a:extLst>
            <a:ext uri="{FF2B5EF4-FFF2-40B4-BE49-F238E27FC236}">
              <a16:creationId xmlns:a16="http://schemas.microsoft.com/office/drawing/2014/main" id="{00000000-0008-0000-0000-00000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89" name="Line 1233">
          <a:extLst>
            <a:ext uri="{FF2B5EF4-FFF2-40B4-BE49-F238E27FC236}">
              <a16:creationId xmlns:a16="http://schemas.microsoft.com/office/drawing/2014/main" id="{00000000-0008-0000-0000-00000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90" name="Line 1234">
          <a:extLst>
            <a:ext uri="{FF2B5EF4-FFF2-40B4-BE49-F238E27FC236}">
              <a16:creationId xmlns:a16="http://schemas.microsoft.com/office/drawing/2014/main" id="{00000000-0008-0000-0000-00000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91" name="Line 1235">
          <a:extLst>
            <a:ext uri="{FF2B5EF4-FFF2-40B4-BE49-F238E27FC236}">
              <a16:creationId xmlns:a16="http://schemas.microsoft.com/office/drawing/2014/main" id="{00000000-0008-0000-0000-00000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92" name="Line 1236">
          <a:extLst>
            <a:ext uri="{FF2B5EF4-FFF2-40B4-BE49-F238E27FC236}">
              <a16:creationId xmlns:a16="http://schemas.microsoft.com/office/drawing/2014/main" id="{00000000-0008-0000-0000-00000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93" name="Line 1237">
          <a:extLst>
            <a:ext uri="{FF2B5EF4-FFF2-40B4-BE49-F238E27FC236}">
              <a16:creationId xmlns:a16="http://schemas.microsoft.com/office/drawing/2014/main" id="{00000000-0008-0000-0000-00000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94" name="Line 1238">
          <a:extLst>
            <a:ext uri="{FF2B5EF4-FFF2-40B4-BE49-F238E27FC236}">
              <a16:creationId xmlns:a16="http://schemas.microsoft.com/office/drawing/2014/main" id="{00000000-0008-0000-0000-00000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95" name="Line 1239">
          <a:extLst>
            <a:ext uri="{FF2B5EF4-FFF2-40B4-BE49-F238E27FC236}">
              <a16:creationId xmlns:a16="http://schemas.microsoft.com/office/drawing/2014/main" id="{00000000-0008-0000-0000-00000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96" name="Line 1240">
          <a:extLst>
            <a:ext uri="{FF2B5EF4-FFF2-40B4-BE49-F238E27FC236}">
              <a16:creationId xmlns:a16="http://schemas.microsoft.com/office/drawing/2014/main" id="{00000000-0008-0000-0000-00001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97" name="Line 1241">
          <a:extLst>
            <a:ext uri="{FF2B5EF4-FFF2-40B4-BE49-F238E27FC236}">
              <a16:creationId xmlns:a16="http://schemas.microsoft.com/office/drawing/2014/main" id="{00000000-0008-0000-0000-00001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698" name="Line 1242">
          <a:extLst>
            <a:ext uri="{FF2B5EF4-FFF2-40B4-BE49-F238E27FC236}">
              <a16:creationId xmlns:a16="http://schemas.microsoft.com/office/drawing/2014/main" id="{00000000-0008-0000-0000-00001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699" name="Line 1243">
          <a:extLst>
            <a:ext uri="{FF2B5EF4-FFF2-40B4-BE49-F238E27FC236}">
              <a16:creationId xmlns:a16="http://schemas.microsoft.com/office/drawing/2014/main" id="{00000000-0008-0000-0000-00001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00" name="Line 1244">
          <a:extLst>
            <a:ext uri="{FF2B5EF4-FFF2-40B4-BE49-F238E27FC236}">
              <a16:creationId xmlns:a16="http://schemas.microsoft.com/office/drawing/2014/main" id="{00000000-0008-0000-0000-00001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01" name="Line 1245">
          <a:extLst>
            <a:ext uri="{FF2B5EF4-FFF2-40B4-BE49-F238E27FC236}">
              <a16:creationId xmlns:a16="http://schemas.microsoft.com/office/drawing/2014/main" id="{00000000-0008-0000-0000-00001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02" name="Line 1246">
          <a:extLst>
            <a:ext uri="{FF2B5EF4-FFF2-40B4-BE49-F238E27FC236}">
              <a16:creationId xmlns:a16="http://schemas.microsoft.com/office/drawing/2014/main" id="{00000000-0008-0000-0000-00001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03" name="Line 1247">
          <a:extLst>
            <a:ext uri="{FF2B5EF4-FFF2-40B4-BE49-F238E27FC236}">
              <a16:creationId xmlns:a16="http://schemas.microsoft.com/office/drawing/2014/main" id="{00000000-0008-0000-0000-00001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04" name="Line 1248">
          <a:extLst>
            <a:ext uri="{FF2B5EF4-FFF2-40B4-BE49-F238E27FC236}">
              <a16:creationId xmlns:a16="http://schemas.microsoft.com/office/drawing/2014/main" id="{00000000-0008-0000-0000-00001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05" name="Line 1249">
          <a:extLst>
            <a:ext uri="{FF2B5EF4-FFF2-40B4-BE49-F238E27FC236}">
              <a16:creationId xmlns:a16="http://schemas.microsoft.com/office/drawing/2014/main" id="{00000000-0008-0000-0000-00001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06" name="Line 1250">
          <a:extLst>
            <a:ext uri="{FF2B5EF4-FFF2-40B4-BE49-F238E27FC236}">
              <a16:creationId xmlns:a16="http://schemas.microsoft.com/office/drawing/2014/main" id="{00000000-0008-0000-0000-00001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07" name="Line 1251">
          <a:extLst>
            <a:ext uri="{FF2B5EF4-FFF2-40B4-BE49-F238E27FC236}">
              <a16:creationId xmlns:a16="http://schemas.microsoft.com/office/drawing/2014/main" id="{00000000-0008-0000-0000-00001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08" name="Line 1252">
          <a:extLst>
            <a:ext uri="{FF2B5EF4-FFF2-40B4-BE49-F238E27FC236}">
              <a16:creationId xmlns:a16="http://schemas.microsoft.com/office/drawing/2014/main" id="{00000000-0008-0000-0000-00001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09" name="Line 1253">
          <a:extLst>
            <a:ext uri="{FF2B5EF4-FFF2-40B4-BE49-F238E27FC236}">
              <a16:creationId xmlns:a16="http://schemas.microsoft.com/office/drawing/2014/main" id="{00000000-0008-0000-0000-00001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10" name="Line 1254">
          <a:extLst>
            <a:ext uri="{FF2B5EF4-FFF2-40B4-BE49-F238E27FC236}">
              <a16:creationId xmlns:a16="http://schemas.microsoft.com/office/drawing/2014/main" id="{00000000-0008-0000-0000-00001E22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11" name="Line 1255">
          <a:extLst>
            <a:ext uri="{FF2B5EF4-FFF2-40B4-BE49-F238E27FC236}">
              <a16:creationId xmlns:a16="http://schemas.microsoft.com/office/drawing/2014/main" id="{00000000-0008-0000-0000-00001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12" name="Line 1256">
          <a:extLst>
            <a:ext uri="{FF2B5EF4-FFF2-40B4-BE49-F238E27FC236}">
              <a16:creationId xmlns:a16="http://schemas.microsoft.com/office/drawing/2014/main" id="{00000000-0008-0000-0000-00002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13" name="Line 1257">
          <a:extLst>
            <a:ext uri="{FF2B5EF4-FFF2-40B4-BE49-F238E27FC236}">
              <a16:creationId xmlns:a16="http://schemas.microsoft.com/office/drawing/2014/main" id="{00000000-0008-0000-0000-00002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14" name="Line 1258">
          <a:extLst>
            <a:ext uri="{FF2B5EF4-FFF2-40B4-BE49-F238E27FC236}">
              <a16:creationId xmlns:a16="http://schemas.microsoft.com/office/drawing/2014/main" id="{00000000-0008-0000-0000-00002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15" name="Line 1259">
          <a:extLst>
            <a:ext uri="{FF2B5EF4-FFF2-40B4-BE49-F238E27FC236}">
              <a16:creationId xmlns:a16="http://schemas.microsoft.com/office/drawing/2014/main" id="{00000000-0008-0000-0000-00002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16" name="Line 1260">
          <a:extLst>
            <a:ext uri="{FF2B5EF4-FFF2-40B4-BE49-F238E27FC236}">
              <a16:creationId xmlns:a16="http://schemas.microsoft.com/office/drawing/2014/main" id="{00000000-0008-0000-0000-00002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17" name="Line 1261">
          <a:extLst>
            <a:ext uri="{FF2B5EF4-FFF2-40B4-BE49-F238E27FC236}">
              <a16:creationId xmlns:a16="http://schemas.microsoft.com/office/drawing/2014/main" id="{00000000-0008-0000-0000-00002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18" name="Line 1262">
          <a:extLst>
            <a:ext uri="{FF2B5EF4-FFF2-40B4-BE49-F238E27FC236}">
              <a16:creationId xmlns:a16="http://schemas.microsoft.com/office/drawing/2014/main" id="{00000000-0008-0000-0000-00002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19" name="Line 1263">
          <a:extLst>
            <a:ext uri="{FF2B5EF4-FFF2-40B4-BE49-F238E27FC236}">
              <a16:creationId xmlns:a16="http://schemas.microsoft.com/office/drawing/2014/main" id="{00000000-0008-0000-0000-00002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20" name="Line 1264">
          <a:extLst>
            <a:ext uri="{FF2B5EF4-FFF2-40B4-BE49-F238E27FC236}">
              <a16:creationId xmlns:a16="http://schemas.microsoft.com/office/drawing/2014/main" id="{00000000-0008-0000-0000-00002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21" name="Line 1265">
          <a:extLst>
            <a:ext uri="{FF2B5EF4-FFF2-40B4-BE49-F238E27FC236}">
              <a16:creationId xmlns:a16="http://schemas.microsoft.com/office/drawing/2014/main" id="{00000000-0008-0000-0000-00002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22" name="Line 1266">
          <a:extLst>
            <a:ext uri="{FF2B5EF4-FFF2-40B4-BE49-F238E27FC236}">
              <a16:creationId xmlns:a16="http://schemas.microsoft.com/office/drawing/2014/main" id="{00000000-0008-0000-0000-00002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23" name="Line 1267">
          <a:extLst>
            <a:ext uri="{FF2B5EF4-FFF2-40B4-BE49-F238E27FC236}">
              <a16:creationId xmlns:a16="http://schemas.microsoft.com/office/drawing/2014/main" id="{00000000-0008-0000-0000-00002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24" name="Line 1268">
          <a:extLst>
            <a:ext uri="{FF2B5EF4-FFF2-40B4-BE49-F238E27FC236}">
              <a16:creationId xmlns:a16="http://schemas.microsoft.com/office/drawing/2014/main" id="{00000000-0008-0000-0000-00002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25" name="Line 1269">
          <a:extLst>
            <a:ext uri="{FF2B5EF4-FFF2-40B4-BE49-F238E27FC236}">
              <a16:creationId xmlns:a16="http://schemas.microsoft.com/office/drawing/2014/main" id="{00000000-0008-0000-0000-00002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26" name="Line 1270">
          <a:extLst>
            <a:ext uri="{FF2B5EF4-FFF2-40B4-BE49-F238E27FC236}">
              <a16:creationId xmlns:a16="http://schemas.microsoft.com/office/drawing/2014/main" id="{00000000-0008-0000-0000-00002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27" name="Line 1271">
          <a:extLst>
            <a:ext uri="{FF2B5EF4-FFF2-40B4-BE49-F238E27FC236}">
              <a16:creationId xmlns:a16="http://schemas.microsoft.com/office/drawing/2014/main" id="{00000000-0008-0000-0000-00002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28" name="Line 1272">
          <a:extLst>
            <a:ext uri="{FF2B5EF4-FFF2-40B4-BE49-F238E27FC236}">
              <a16:creationId xmlns:a16="http://schemas.microsoft.com/office/drawing/2014/main" id="{00000000-0008-0000-0000-00003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29" name="Line 1273">
          <a:extLst>
            <a:ext uri="{FF2B5EF4-FFF2-40B4-BE49-F238E27FC236}">
              <a16:creationId xmlns:a16="http://schemas.microsoft.com/office/drawing/2014/main" id="{00000000-0008-0000-0000-00003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30" name="Line 1274">
          <a:extLst>
            <a:ext uri="{FF2B5EF4-FFF2-40B4-BE49-F238E27FC236}">
              <a16:creationId xmlns:a16="http://schemas.microsoft.com/office/drawing/2014/main" id="{00000000-0008-0000-0000-00003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31" name="Line 1275">
          <a:extLst>
            <a:ext uri="{FF2B5EF4-FFF2-40B4-BE49-F238E27FC236}">
              <a16:creationId xmlns:a16="http://schemas.microsoft.com/office/drawing/2014/main" id="{00000000-0008-0000-0000-00003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32" name="Line 1276">
          <a:extLst>
            <a:ext uri="{FF2B5EF4-FFF2-40B4-BE49-F238E27FC236}">
              <a16:creationId xmlns:a16="http://schemas.microsoft.com/office/drawing/2014/main" id="{00000000-0008-0000-0000-00003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33" name="Line 1277">
          <a:extLst>
            <a:ext uri="{FF2B5EF4-FFF2-40B4-BE49-F238E27FC236}">
              <a16:creationId xmlns:a16="http://schemas.microsoft.com/office/drawing/2014/main" id="{00000000-0008-0000-0000-00003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34" name="Line 1278">
          <a:extLst>
            <a:ext uri="{FF2B5EF4-FFF2-40B4-BE49-F238E27FC236}">
              <a16:creationId xmlns:a16="http://schemas.microsoft.com/office/drawing/2014/main" id="{00000000-0008-0000-0000-00003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35" name="Line 1279">
          <a:extLst>
            <a:ext uri="{FF2B5EF4-FFF2-40B4-BE49-F238E27FC236}">
              <a16:creationId xmlns:a16="http://schemas.microsoft.com/office/drawing/2014/main" id="{00000000-0008-0000-0000-00003722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36" name="Line 1280">
          <a:extLst>
            <a:ext uri="{FF2B5EF4-FFF2-40B4-BE49-F238E27FC236}">
              <a16:creationId xmlns:a16="http://schemas.microsoft.com/office/drawing/2014/main" id="{00000000-0008-0000-0000-00003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37" name="Line 1281">
          <a:extLst>
            <a:ext uri="{FF2B5EF4-FFF2-40B4-BE49-F238E27FC236}">
              <a16:creationId xmlns:a16="http://schemas.microsoft.com/office/drawing/2014/main" id="{00000000-0008-0000-0000-00003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38" name="Line 1282">
          <a:extLst>
            <a:ext uri="{FF2B5EF4-FFF2-40B4-BE49-F238E27FC236}">
              <a16:creationId xmlns:a16="http://schemas.microsoft.com/office/drawing/2014/main" id="{00000000-0008-0000-0000-00003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39" name="Line 1283">
          <a:extLst>
            <a:ext uri="{FF2B5EF4-FFF2-40B4-BE49-F238E27FC236}">
              <a16:creationId xmlns:a16="http://schemas.microsoft.com/office/drawing/2014/main" id="{00000000-0008-0000-0000-00003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40" name="Line 1284">
          <a:extLst>
            <a:ext uri="{FF2B5EF4-FFF2-40B4-BE49-F238E27FC236}">
              <a16:creationId xmlns:a16="http://schemas.microsoft.com/office/drawing/2014/main" id="{00000000-0008-0000-0000-00003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41" name="Line 1285">
          <a:extLst>
            <a:ext uri="{FF2B5EF4-FFF2-40B4-BE49-F238E27FC236}">
              <a16:creationId xmlns:a16="http://schemas.microsoft.com/office/drawing/2014/main" id="{00000000-0008-0000-0000-00003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42" name="Line 1286">
          <a:extLst>
            <a:ext uri="{FF2B5EF4-FFF2-40B4-BE49-F238E27FC236}">
              <a16:creationId xmlns:a16="http://schemas.microsoft.com/office/drawing/2014/main" id="{00000000-0008-0000-0000-00003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43" name="Line 1287">
          <a:extLst>
            <a:ext uri="{FF2B5EF4-FFF2-40B4-BE49-F238E27FC236}">
              <a16:creationId xmlns:a16="http://schemas.microsoft.com/office/drawing/2014/main" id="{00000000-0008-0000-0000-00003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44" name="Line 1288">
          <a:extLst>
            <a:ext uri="{FF2B5EF4-FFF2-40B4-BE49-F238E27FC236}">
              <a16:creationId xmlns:a16="http://schemas.microsoft.com/office/drawing/2014/main" id="{00000000-0008-0000-0000-00004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45" name="Line 1289">
          <a:extLst>
            <a:ext uri="{FF2B5EF4-FFF2-40B4-BE49-F238E27FC236}">
              <a16:creationId xmlns:a16="http://schemas.microsoft.com/office/drawing/2014/main" id="{00000000-0008-0000-0000-00004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46" name="Line 1290">
          <a:extLst>
            <a:ext uri="{FF2B5EF4-FFF2-40B4-BE49-F238E27FC236}">
              <a16:creationId xmlns:a16="http://schemas.microsoft.com/office/drawing/2014/main" id="{00000000-0008-0000-0000-00004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47" name="Line 1291">
          <a:extLst>
            <a:ext uri="{FF2B5EF4-FFF2-40B4-BE49-F238E27FC236}">
              <a16:creationId xmlns:a16="http://schemas.microsoft.com/office/drawing/2014/main" id="{00000000-0008-0000-0000-00004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48" name="Line 1292">
          <a:extLst>
            <a:ext uri="{FF2B5EF4-FFF2-40B4-BE49-F238E27FC236}">
              <a16:creationId xmlns:a16="http://schemas.microsoft.com/office/drawing/2014/main" id="{00000000-0008-0000-0000-00004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49" name="Line 1293">
          <a:extLst>
            <a:ext uri="{FF2B5EF4-FFF2-40B4-BE49-F238E27FC236}">
              <a16:creationId xmlns:a16="http://schemas.microsoft.com/office/drawing/2014/main" id="{00000000-0008-0000-0000-00004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50" name="Line 1294">
          <a:extLst>
            <a:ext uri="{FF2B5EF4-FFF2-40B4-BE49-F238E27FC236}">
              <a16:creationId xmlns:a16="http://schemas.microsoft.com/office/drawing/2014/main" id="{00000000-0008-0000-0000-00004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51" name="Line 1295">
          <a:extLst>
            <a:ext uri="{FF2B5EF4-FFF2-40B4-BE49-F238E27FC236}">
              <a16:creationId xmlns:a16="http://schemas.microsoft.com/office/drawing/2014/main" id="{00000000-0008-0000-0000-00004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52" name="Line 1296">
          <a:extLst>
            <a:ext uri="{FF2B5EF4-FFF2-40B4-BE49-F238E27FC236}">
              <a16:creationId xmlns:a16="http://schemas.microsoft.com/office/drawing/2014/main" id="{00000000-0008-0000-0000-00004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53" name="Line 1297">
          <a:extLst>
            <a:ext uri="{FF2B5EF4-FFF2-40B4-BE49-F238E27FC236}">
              <a16:creationId xmlns:a16="http://schemas.microsoft.com/office/drawing/2014/main" id="{00000000-0008-0000-0000-00004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54" name="Line 1298">
          <a:extLst>
            <a:ext uri="{FF2B5EF4-FFF2-40B4-BE49-F238E27FC236}">
              <a16:creationId xmlns:a16="http://schemas.microsoft.com/office/drawing/2014/main" id="{00000000-0008-0000-0000-00004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55" name="Line 1299">
          <a:extLst>
            <a:ext uri="{FF2B5EF4-FFF2-40B4-BE49-F238E27FC236}">
              <a16:creationId xmlns:a16="http://schemas.microsoft.com/office/drawing/2014/main" id="{00000000-0008-0000-0000-00004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56" name="Line 1300">
          <a:extLst>
            <a:ext uri="{FF2B5EF4-FFF2-40B4-BE49-F238E27FC236}">
              <a16:creationId xmlns:a16="http://schemas.microsoft.com/office/drawing/2014/main" id="{00000000-0008-0000-0000-00004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57" name="Line 1301">
          <a:extLst>
            <a:ext uri="{FF2B5EF4-FFF2-40B4-BE49-F238E27FC236}">
              <a16:creationId xmlns:a16="http://schemas.microsoft.com/office/drawing/2014/main" id="{00000000-0008-0000-0000-00004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58" name="Line 1302">
          <a:extLst>
            <a:ext uri="{FF2B5EF4-FFF2-40B4-BE49-F238E27FC236}">
              <a16:creationId xmlns:a16="http://schemas.microsoft.com/office/drawing/2014/main" id="{00000000-0008-0000-0000-00004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59" name="Line 1303">
          <a:extLst>
            <a:ext uri="{FF2B5EF4-FFF2-40B4-BE49-F238E27FC236}">
              <a16:creationId xmlns:a16="http://schemas.microsoft.com/office/drawing/2014/main" id="{00000000-0008-0000-0000-00004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60" name="Line 1304">
          <a:extLst>
            <a:ext uri="{FF2B5EF4-FFF2-40B4-BE49-F238E27FC236}">
              <a16:creationId xmlns:a16="http://schemas.microsoft.com/office/drawing/2014/main" id="{00000000-0008-0000-0000-00005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61" name="Line 1305">
          <a:extLst>
            <a:ext uri="{FF2B5EF4-FFF2-40B4-BE49-F238E27FC236}">
              <a16:creationId xmlns:a16="http://schemas.microsoft.com/office/drawing/2014/main" id="{00000000-0008-0000-0000-00005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62" name="Line 1306">
          <a:extLst>
            <a:ext uri="{FF2B5EF4-FFF2-40B4-BE49-F238E27FC236}">
              <a16:creationId xmlns:a16="http://schemas.microsoft.com/office/drawing/2014/main" id="{00000000-0008-0000-0000-00005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63" name="Line 1307">
          <a:extLst>
            <a:ext uri="{FF2B5EF4-FFF2-40B4-BE49-F238E27FC236}">
              <a16:creationId xmlns:a16="http://schemas.microsoft.com/office/drawing/2014/main" id="{00000000-0008-0000-0000-00005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64" name="Line 1308">
          <a:extLst>
            <a:ext uri="{FF2B5EF4-FFF2-40B4-BE49-F238E27FC236}">
              <a16:creationId xmlns:a16="http://schemas.microsoft.com/office/drawing/2014/main" id="{00000000-0008-0000-0000-00005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65" name="Line 1309">
          <a:extLst>
            <a:ext uri="{FF2B5EF4-FFF2-40B4-BE49-F238E27FC236}">
              <a16:creationId xmlns:a16="http://schemas.microsoft.com/office/drawing/2014/main" id="{00000000-0008-0000-0000-00005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66" name="Line 1310">
          <a:extLst>
            <a:ext uri="{FF2B5EF4-FFF2-40B4-BE49-F238E27FC236}">
              <a16:creationId xmlns:a16="http://schemas.microsoft.com/office/drawing/2014/main" id="{00000000-0008-0000-0000-00005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67" name="Line 1311">
          <a:extLst>
            <a:ext uri="{FF2B5EF4-FFF2-40B4-BE49-F238E27FC236}">
              <a16:creationId xmlns:a16="http://schemas.microsoft.com/office/drawing/2014/main" id="{00000000-0008-0000-0000-00005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68" name="Line 1312">
          <a:extLst>
            <a:ext uri="{FF2B5EF4-FFF2-40B4-BE49-F238E27FC236}">
              <a16:creationId xmlns:a16="http://schemas.microsoft.com/office/drawing/2014/main" id="{00000000-0008-0000-0000-00005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69" name="Line 1313">
          <a:extLst>
            <a:ext uri="{FF2B5EF4-FFF2-40B4-BE49-F238E27FC236}">
              <a16:creationId xmlns:a16="http://schemas.microsoft.com/office/drawing/2014/main" id="{00000000-0008-0000-0000-00005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70" name="Line 1314">
          <a:extLst>
            <a:ext uri="{FF2B5EF4-FFF2-40B4-BE49-F238E27FC236}">
              <a16:creationId xmlns:a16="http://schemas.microsoft.com/office/drawing/2014/main" id="{00000000-0008-0000-0000-00005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71" name="Line 1315">
          <a:extLst>
            <a:ext uri="{FF2B5EF4-FFF2-40B4-BE49-F238E27FC236}">
              <a16:creationId xmlns:a16="http://schemas.microsoft.com/office/drawing/2014/main" id="{00000000-0008-0000-0000-00005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72" name="Line 1316">
          <a:extLst>
            <a:ext uri="{FF2B5EF4-FFF2-40B4-BE49-F238E27FC236}">
              <a16:creationId xmlns:a16="http://schemas.microsoft.com/office/drawing/2014/main" id="{00000000-0008-0000-0000-00005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73" name="Line 1317">
          <a:extLst>
            <a:ext uri="{FF2B5EF4-FFF2-40B4-BE49-F238E27FC236}">
              <a16:creationId xmlns:a16="http://schemas.microsoft.com/office/drawing/2014/main" id="{00000000-0008-0000-0000-00005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74" name="Line 1318">
          <a:extLst>
            <a:ext uri="{FF2B5EF4-FFF2-40B4-BE49-F238E27FC236}">
              <a16:creationId xmlns:a16="http://schemas.microsoft.com/office/drawing/2014/main" id="{00000000-0008-0000-0000-00005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75" name="Line 1319">
          <a:extLst>
            <a:ext uri="{FF2B5EF4-FFF2-40B4-BE49-F238E27FC236}">
              <a16:creationId xmlns:a16="http://schemas.microsoft.com/office/drawing/2014/main" id="{00000000-0008-0000-0000-00005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76" name="Line 1320">
          <a:extLst>
            <a:ext uri="{FF2B5EF4-FFF2-40B4-BE49-F238E27FC236}">
              <a16:creationId xmlns:a16="http://schemas.microsoft.com/office/drawing/2014/main" id="{00000000-0008-0000-0000-00006022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77" name="Line 1321">
          <a:extLst>
            <a:ext uri="{FF2B5EF4-FFF2-40B4-BE49-F238E27FC236}">
              <a16:creationId xmlns:a16="http://schemas.microsoft.com/office/drawing/2014/main" id="{00000000-0008-0000-0000-00006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78" name="Line 1322">
          <a:extLst>
            <a:ext uri="{FF2B5EF4-FFF2-40B4-BE49-F238E27FC236}">
              <a16:creationId xmlns:a16="http://schemas.microsoft.com/office/drawing/2014/main" id="{00000000-0008-0000-0000-00006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79" name="Line 1323">
          <a:extLst>
            <a:ext uri="{FF2B5EF4-FFF2-40B4-BE49-F238E27FC236}">
              <a16:creationId xmlns:a16="http://schemas.microsoft.com/office/drawing/2014/main" id="{00000000-0008-0000-0000-00006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80" name="Line 1324">
          <a:extLst>
            <a:ext uri="{FF2B5EF4-FFF2-40B4-BE49-F238E27FC236}">
              <a16:creationId xmlns:a16="http://schemas.microsoft.com/office/drawing/2014/main" id="{00000000-0008-0000-0000-00006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81" name="Line 1325">
          <a:extLst>
            <a:ext uri="{FF2B5EF4-FFF2-40B4-BE49-F238E27FC236}">
              <a16:creationId xmlns:a16="http://schemas.microsoft.com/office/drawing/2014/main" id="{00000000-0008-0000-0000-00006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82" name="Line 1326">
          <a:extLst>
            <a:ext uri="{FF2B5EF4-FFF2-40B4-BE49-F238E27FC236}">
              <a16:creationId xmlns:a16="http://schemas.microsoft.com/office/drawing/2014/main" id="{00000000-0008-0000-0000-00006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83" name="Line 1327">
          <a:extLst>
            <a:ext uri="{FF2B5EF4-FFF2-40B4-BE49-F238E27FC236}">
              <a16:creationId xmlns:a16="http://schemas.microsoft.com/office/drawing/2014/main" id="{00000000-0008-0000-0000-00006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84" name="Line 1328">
          <a:extLst>
            <a:ext uri="{FF2B5EF4-FFF2-40B4-BE49-F238E27FC236}">
              <a16:creationId xmlns:a16="http://schemas.microsoft.com/office/drawing/2014/main" id="{00000000-0008-0000-0000-00006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85" name="Line 1329">
          <a:extLst>
            <a:ext uri="{FF2B5EF4-FFF2-40B4-BE49-F238E27FC236}">
              <a16:creationId xmlns:a16="http://schemas.microsoft.com/office/drawing/2014/main" id="{00000000-0008-0000-0000-00006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86" name="Line 1330">
          <a:extLst>
            <a:ext uri="{FF2B5EF4-FFF2-40B4-BE49-F238E27FC236}">
              <a16:creationId xmlns:a16="http://schemas.microsoft.com/office/drawing/2014/main" id="{00000000-0008-0000-0000-00006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87" name="Line 1331">
          <a:extLst>
            <a:ext uri="{FF2B5EF4-FFF2-40B4-BE49-F238E27FC236}">
              <a16:creationId xmlns:a16="http://schemas.microsoft.com/office/drawing/2014/main" id="{00000000-0008-0000-0000-00006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88" name="Line 1332">
          <a:extLst>
            <a:ext uri="{FF2B5EF4-FFF2-40B4-BE49-F238E27FC236}">
              <a16:creationId xmlns:a16="http://schemas.microsoft.com/office/drawing/2014/main" id="{00000000-0008-0000-0000-00006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89" name="Line 1333">
          <a:extLst>
            <a:ext uri="{FF2B5EF4-FFF2-40B4-BE49-F238E27FC236}">
              <a16:creationId xmlns:a16="http://schemas.microsoft.com/office/drawing/2014/main" id="{00000000-0008-0000-0000-00006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90" name="Line 1334">
          <a:extLst>
            <a:ext uri="{FF2B5EF4-FFF2-40B4-BE49-F238E27FC236}">
              <a16:creationId xmlns:a16="http://schemas.microsoft.com/office/drawing/2014/main" id="{00000000-0008-0000-0000-00006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91" name="Line 1335">
          <a:extLst>
            <a:ext uri="{FF2B5EF4-FFF2-40B4-BE49-F238E27FC236}">
              <a16:creationId xmlns:a16="http://schemas.microsoft.com/office/drawing/2014/main" id="{00000000-0008-0000-0000-00006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92" name="Line 1336">
          <a:extLst>
            <a:ext uri="{FF2B5EF4-FFF2-40B4-BE49-F238E27FC236}">
              <a16:creationId xmlns:a16="http://schemas.microsoft.com/office/drawing/2014/main" id="{00000000-0008-0000-0000-00007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93" name="Line 1337">
          <a:extLst>
            <a:ext uri="{FF2B5EF4-FFF2-40B4-BE49-F238E27FC236}">
              <a16:creationId xmlns:a16="http://schemas.microsoft.com/office/drawing/2014/main" id="{00000000-0008-0000-0000-00007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94" name="Line 1338">
          <a:extLst>
            <a:ext uri="{FF2B5EF4-FFF2-40B4-BE49-F238E27FC236}">
              <a16:creationId xmlns:a16="http://schemas.microsoft.com/office/drawing/2014/main" id="{00000000-0008-0000-0000-00007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95" name="Line 1339">
          <a:extLst>
            <a:ext uri="{FF2B5EF4-FFF2-40B4-BE49-F238E27FC236}">
              <a16:creationId xmlns:a16="http://schemas.microsoft.com/office/drawing/2014/main" id="{00000000-0008-0000-0000-00007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96" name="Line 1340">
          <a:extLst>
            <a:ext uri="{FF2B5EF4-FFF2-40B4-BE49-F238E27FC236}">
              <a16:creationId xmlns:a16="http://schemas.microsoft.com/office/drawing/2014/main" id="{00000000-0008-0000-0000-00007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97" name="Line 1341">
          <a:extLst>
            <a:ext uri="{FF2B5EF4-FFF2-40B4-BE49-F238E27FC236}">
              <a16:creationId xmlns:a16="http://schemas.microsoft.com/office/drawing/2014/main" id="{00000000-0008-0000-0000-00007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798" name="Line 1342">
          <a:extLst>
            <a:ext uri="{FF2B5EF4-FFF2-40B4-BE49-F238E27FC236}">
              <a16:creationId xmlns:a16="http://schemas.microsoft.com/office/drawing/2014/main" id="{00000000-0008-0000-0000-00007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799" name="Line 1343">
          <a:extLst>
            <a:ext uri="{FF2B5EF4-FFF2-40B4-BE49-F238E27FC236}">
              <a16:creationId xmlns:a16="http://schemas.microsoft.com/office/drawing/2014/main" id="{00000000-0008-0000-0000-00007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00" name="Line 1344">
          <a:extLst>
            <a:ext uri="{FF2B5EF4-FFF2-40B4-BE49-F238E27FC236}">
              <a16:creationId xmlns:a16="http://schemas.microsoft.com/office/drawing/2014/main" id="{00000000-0008-0000-0000-00007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01" name="Line 1345">
          <a:extLst>
            <a:ext uri="{FF2B5EF4-FFF2-40B4-BE49-F238E27FC236}">
              <a16:creationId xmlns:a16="http://schemas.microsoft.com/office/drawing/2014/main" id="{00000000-0008-0000-0000-00007922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02" name="Line 1346">
          <a:extLst>
            <a:ext uri="{FF2B5EF4-FFF2-40B4-BE49-F238E27FC236}">
              <a16:creationId xmlns:a16="http://schemas.microsoft.com/office/drawing/2014/main" id="{00000000-0008-0000-0000-00007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03" name="Line 1347">
          <a:extLst>
            <a:ext uri="{FF2B5EF4-FFF2-40B4-BE49-F238E27FC236}">
              <a16:creationId xmlns:a16="http://schemas.microsoft.com/office/drawing/2014/main" id="{00000000-0008-0000-0000-00007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04" name="Line 1348">
          <a:extLst>
            <a:ext uri="{FF2B5EF4-FFF2-40B4-BE49-F238E27FC236}">
              <a16:creationId xmlns:a16="http://schemas.microsoft.com/office/drawing/2014/main" id="{00000000-0008-0000-0000-00007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05" name="Line 1349">
          <a:extLst>
            <a:ext uri="{FF2B5EF4-FFF2-40B4-BE49-F238E27FC236}">
              <a16:creationId xmlns:a16="http://schemas.microsoft.com/office/drawing/2014/main" id="{00000000-0008-0000-0000-00007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06" name="Line 1350">
          <a:extLst>
            <a:ext uri="{FF2B5EF4-FFF2-40B4-BE49-F238E27FC236}">
              <a16:creationId xmlns:a16="http://schemas.microsoft.com/office/drawing/2014/main" id="{00000000-0008-0000-0000-00007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07" name="Line 1351">
          <a:extLst>
            <a:ext uri="{FF2B5EF4-FFF2-40B4-BE49-F238E27FC236}">
              <a16:creationId xmlns:a16="http://schemas.microsoft.com/office/drawing/2014/main" id="{00000000-0008-0000-0000-00007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08" name="Line 1352">
          <a:extLst>
            <a:ext uri="{FF2B5EF4-FFF2-40B4-BE49-F238E27FC236}">
              <a16:creationId xmlns:a16="http://schemas.microsoft.com/office/drawing/2014/main" id="{00000000-0008-0000-0000-00008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09" name="Line 1353">
          <a:extLst>
            <a:ext uri="{FF2B5EF4-FFF2-40B4-BE49-F238E27FC236}">
              <a16:creationId xmlns:a16="http://schemas.microsoft.com/office/drawing/2014/main" id="{00000000-0008-0000-0000-00008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10" name="Line 1354">
          <a:extLst>
            <a:ext uri="{FF2B5EF4-FFF2-40B4-BE49-F238E27FC236}">
              <a16:creationId xmlns:a16="http://schemas.microsoft.com/office/drawing/2014/main" id="{00000000-0008-0000-0000-00008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11" name="Line 1355">
          <a:extLst>
            <a:ext uri="{FF2B5EF4-FFF2-40B4-BE49-F238E27FC236}">
              <a16:creationId xmlns:a16="http://schemas.microsoft.com/office/drawing/2014/main" id="{00000000-0008-0000-0000-00008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12" name="Line 1356">
          <a:extLst>
            <a:ext uri="{FF2B5EF4-FFF2-40B4-BE49-F238E27FC236}">
              <a16:creationId xmlns:a16="http://schemas.microsoft.com/office/drawing/2014/main" id="{00000000-0008-0000-0000-00008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13" name="Line 1357">
          <a:extLst>
            <a:ext uri="{FF2B5EF4-FFF2-40B4-BE49-F238E27FC236}">
              <a16:creationId xmlns:a16="http://schemas.microsoft.com/office/drawing/2014/main" id="{00000000-0008-0000-0000-00008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14" name="Line 1358">
          <a:extLst>
            <a:ext uri="{FF2B5EF4-FFF2-40B4-BE49-F238E27FC236}">
              <a16:creationId xmlns:a16="http://schemas.microsoft.com/office/drawing/2014/main" id="{00000000-0008-0000-0000-00008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15" name="Line 1359">
          <a:extLst>
            <a:ext uri="{FF2B5EF4-FFF2-40B4-BE49-F238E27FC236}">
              <a16:creationId xmlns:a16="http://schemas.microsoft.com/office/drawing/2014/main" id="{00000000-0008-0000-0000-00008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16" name="Line 1360">
          <a:extLst>
            <a:ext uri="{FF2B5EF4-FFF2-40B4-BE49-F238E27FC236}">
              <a16:creationId xmlns:a16="http://schemas.microsoft.com/office/drawing/2014/main" id="{00000000-0008-0000-0000-00008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17" name="Line 1361">
          <a:extLst>
            <a:ext uri="{FF2B5EF4-FFF2-40B4-BE49-F238E27FC236}">
              <a16:creationId xmlns:a16="http://schemas.microsoft.com/office/drawing/2014/main" id="{00000000-0008-0000-0000-00008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18" name="Line 1362">
          <a:extLst>
            <a:ext uri="{FF2B5EF4-FFF2-40B4-BE49-F238E27FC236}">
              <a16:creationId xmlns:a16="http://schemas.microsoft.com/office/drawing/2014/main" id="{00000000-0008-0000-0000-00008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19" name="Line 1363">
          <a:extLst>
            <a:ext uri="{FF2B5EF4-FFF2-40B4-BE49-F238E27FC236}">
              <a16:creationId xmlns:a16="http://schemas.microsoft.com/office/drawing/2014/main" id="{00000000-0008-0000-0000-00008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20" name="Line 1364">
          <a:extLst>
            <a:ext uri="{FF2B5EF4-FFF2-40B4-BE49-F238E27FC236}">
              <a16:creationId xmlns:a16="http://schemas.microsoft.com/office/drawing/2014/main" id="{00000000-0008-0000-0000-00008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21" name="Line 1365">
          <a:extLst>
            <a:ext uri="{FF2B5EF4-FFF2-40B4-BE49-F238E27FC236}">
              <a16:creationId xmlns:a16="http://schemas.microsoft.com/office/drawing/2014/main" id="{00000000-0008-0000-0000-00008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22" name="Line 1366">
          <a:extLst>
            <a:ext uri="{FF2B5EF4-FFF2-40B4-BE49-F238E27FC236}">
              <a16:creationId xmlns:a16="http://schemas.microsoft.com/office/drawing/2014/main" id="{00000000-0008-0000-0000-00008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23" name="Line 1367">
          <a:extLst>
            <a:ext uri="{FF2B5EF4-FFF2-40B4-BE49-F238E27FC236}">
              <a16:creationId xmlns:a16="http://schemas.microsoft.com/office/drawing/2014/main" id="{00000000-0008-0000-0000-00008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24" name="Line 1368">
          <a:extLst>
            <a:ext uri="{FF2B5EF4-FFF2-40B4-BE49-F238E27FC236}">
              <a16:creationId xmlns:a16="http://schemas.microsoft.com/office/drawing/2014/main" id="{00000000-0008-0000-0000-00009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25" name="Line 1369">
          <a:extLst>
            <a:ext uri="{FF2B5EF4-FFF2-40B4-BE49-F238E27FC236}">
              <a16:creationId xmlns:a16="http://schemas.microsoft.com/office/drawing/2014/main" id="{00000000-0008-0000-0000-00009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26" name="Line 1370">
          <a:extLst>
            <a:ext uri="{FF2B5EF4-FFF2-40B4-BE49-F238E27FC236}">
              <a16:creationId xmlns:a16="http://schemas.microsoft.com/office/drawing/2014/main" id="{00000000-0008-0000-0000-00009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27" name="Line 1371">
          <a:extLst>
            <a:ext uri="{FF2B5EF4-FFF2-40B4-BE49-F238E27FC236}">
              <a16:creationId xmlns:a16="http://schemas.microsoft.com/office/drawing/2014/main" id="{00000000-0008-0000-0000-00009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28" name="Line 1372">
          <a:extLst>
            <a:ext uri="{FF2B5EF4-FFF2-40B4-BE49-F238E27FC236}">
              <a16:creationId xmlns:a16="http://schemas.microsoft.com/office/drawing/2014/main" id="{00000000-0008-0000-0000-00009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29" name="Line 1373">
          <a:extLst>
            <a:ext uri="{FF2B5EF4-FFF2-40B4-BE49-F238E27FC236}">
              <a16:creationId xmlns:a16="http://schemas.microsoft.com/office/drawing/2014/main" id="{00000000-0008-0000-0000-00009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30" name="Line 1374">
          <a:extLst>
            <a:ext uri="{FF2B5EF4-FFF2-40B4-BE49-F238E27FC236}">
              <a16:creationId xmlns:a16="http://schemas.microsoft.com/office/drawing/2014/main" id="{00000000-0008-0000-0000-00009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31" name="Line 1375">
          <a:extLst>
            <a:ext uri="{FF2B5EF4-FFF2-40B4-BE49-F238E27FC236}">
              <a16:creationId xmlns:a16="http://schemas.microsoft.com/office/drawing/2014/main" id="{00000000-0008-0000-0000-00009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32" name="Line 1376">
          <a:extLst>
            <a:ext uri="{FF2B5EF4-FFF2-40B4-BE49-F238E27FC236}">
              <a16:creationId xmlns:a16="http://schemas.microsoft.com/office/drawing/2014/main" id="{00000000-0008-0000-0000-00009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33" name="Line 1377">
          <a:extLst>
            <a:ext uri="{FF2B5EF4-FFF2-40B4-BE49-F238E27FC236}">
              <a16:creationId xmlns:a16="http://schemas.microsoft.com/office/drawing/2014/main" id="{00000000-0008-0000-0000-00009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34" name="Line 1378">
          <a:extLst>
            <a:ext uri="{FF2B5EF4-FFF2-40B4-BE49-F238E27FC236}">
              <a16:creationId xmlns:a16="http://schemas.microsoft.com/office/drawing/2014/main" id="{00000000-0008-0000-0000-00009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35" name="Line 1379">
          <a:extLst>
            <a:ext uri="{FF2B5EF4-FFF2-40B4-BE49-F238E27FC236}">
              <a16:creationId xmlns:a16="http://schemas.microsoft.com/office/drawing/2014/main" id="{00000000-0008-0000-0000-00009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36" name="Line 1380">
          <a:extLst>
            <a:ext uri="{FF2B5EF4-FFF2-40B4-BE49-F238E27FC236}">
              <a16:creationId xmlns:a16="http://schemas.microsoft.com/office/drawing/2014/main" id="{00000000-0008-0000-0000-00009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37" name="Line 1381">
          <a:extLst>
            <a:ext uri="{FF2B5EF4-FFF2-40B4-BE49-F238E27FC236}">
              <a16:creationId xmlns:a16="http://schemas.microsoft.com/office/drawing/2014/main" id="{00000000-0008-0000-0000-00009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38" name="Line 1382">
          <a:extLst>
            <a:ext uri="{FF2B5EF4-FFF2-40B4-BE49-F238E27FC236}">
              <a16:creationId xmlns:a16="http://schemas.microsoft.com/office/drawing/2014/main" id="{00000000-0008-0000-0000-00009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39" name="Line 1383">
          <a:extLst>
            <a:ext uri="{FF2B5EF4-FFF2-40B4-BE49-F238E27FC236}">
              <a16:creationId xmlns:a16="http://schemas.microsoft.com/office/drawing/2014/main" id="{00000000-0008-0000-0000-00009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40" name="Line 1384">
          <a:extLst>
            <a:ext uri="{FF2B5EF4-FFF2-40B4-BE49-F238E27FC236}">
              <a16:creationId xmlns:a16="http://schemas.microsoft.com/office/drawing/2014/main" id="{00000000-0008-0000-0000-0000A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41" name="Line 1385">
          <a:extLst>
            <a:ext uri="{FF2B5EF4-FFF2-40B4-BE49-F238E27FC236}">
              <a16:creationId xmlns:a16="http://schemas.microsoft.com/office/drawing/2014/main" id="{00000000-0008-0000-0000-0000A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42" name="Line 1386">
          <a:extLst>
            <a:ext uri="{FF2B5EF4-FFF2-40B4-BE49-F238E27FC236}">
              <a16:creationId xmlns:a16="http://schemas.microsoft.com/office/drawing/2014/main" id="{00000000-0008-0000-0000-0000A222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43" name="Line 1387">
          <a:extLst>
            <a:ext uri="{FF2B5EF4-FFF2-40B4-BE49-F238E27FC236}">
              <a16:creationId xmlns:a16="http://schemas.microsoft.com/office/drawing/2014/main" id="{00000000-0008-0000-0000-0000A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44" name="Line 1388">
          <a:extLst>
            <a:ext uri="{FF2B5EF4-FFF2-40B4-BE49-F238E27FC236}">
              <a16:creationId xmlns:a16="http://schemas.microsoft.com/office/drawing/2014/main" id="{00000000-0008-0000-0000-0000A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45" name="Line 1389">
          <a:extLst>
            <a:ext uri="{FF2B5EF4-FFF2-40B4-BE49-F238E27FC236}">
              <a16:creationId xmlns:a16="http://schemas.microsoft.com/office/drawing/2014/main" id="{00000000-0008-0000-0000-0000A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46" name="Line 1390">
          <a:extLst>
            <a:ext uri="{FF2B5EF4-FFF2-40B4-BE49-F238E27FC236}">
              <a16:creationId xmlns:a16="http://schemas.microsoft.com/office/drawing/2014/main" id="{00000000-0008-0000-0000-0000A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47" name="Line 1391">
          <a:extLst>
            <a:ext uri="{FF2B5EF4-FFF2-40B4-BE49-F238E27FC236}">
              <a16:creationId xmlns:a16="http://schemas.microsoft.com/office/drawing/2014/main" id="{00000000-0008-0000-0000-0000A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48" name="Line 1392">
          <a:extLst>
            <a:ext uri="{FF2B5EF4-FFF2-40B4-BE49-F238E27FC236}">
              <a16:creationId xmlns:a16="http://schemas.microsoft.com/office/drawing/2014/main" id="{00000000-0008-0000-0000-0000A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49" name="Line 1393">
          <a:extLst>
            <a:ext uri="{FF2B5EF4-FFF2-40B4-BE49-F238E27FC236}">
              <a16:creationId xmlns:a16="http://schemas.microsoft.com/office/drawing/2014/main" id="{00000000-0008-0000-0000-0000A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50" name="Line 1394">
          <a:extLst>
            <a:ext uri="{FF2B5EF4-FFF2-40B4-BE49-F238E27FC236}">
              <a16:creationId xmlns:a16="http://schemas.microsoft.com/office/drawing/2014/main" id="{00000000-0008-0000-0000-0000A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51" name="Line 1395">
          <a:extLst>
            <a:ext uri="{FF2B5EF4-FFF2-40B4-BE49-F238E27FC236}">
              <a16:creationId xmlns:a16="http://schemas.microsoft.com/office/drawing/2014/main" id="{00000000-0008-0000-0000-0000A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52" name="Line 1396">
          <a:extLst>
            <a:ext uri="{FF2B5EF4-FFF2-40B4-BE49-F238E27FC236}">
              <a16:creationId xmlns:a16="http://schemas.microsoft.com/office/drawing/2014/main" id="{00000000-0008-0000-0000-0000A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53" name="Line 1397">
          <a:extLst>
            <a:ext uri="{FF2B5EF4-FFF2-40B4-BE49-F238E27FC236}">
              <a16:creationId xmlns:a16="http://schemas.microsoft.com/office/drawing/2014/main" id="{00000000-0008-0000-0000-0000A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54" name="Line 1398">
          <a:extLst>
            <a:ext uri="{FF2B5EF4-FFF2-40B4-BE49-F238E27FC236}">
              <a16:creationId xmlns:a16="http://schemas.microsoft.com/office/drawing/2014/main" id="{00000000-0008-0000-0000-0000A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55" name="Line 1399">
          <a:extLst>
            <a:ext uri="{FF2B5EF4-FFF2-40B4-BE49-F238E27FC236}">
              <a16:creationId xmlns:a16="http://schemas.microsoft.com/office/drawing/2014/main" id="{00000000-0008-0000-0000-0000A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56" name="Line 1400">
          <a:extLst>
            <a:ext uri="{FF2B5EF4-FFF2-40B4-BE49-F238E27FC236}">
              <a16:creationId xmlns:a16="http://schemas.microsoft.com/office/drawing/2014/main" id="{00000000-0008-0000-0000-0000B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57" name="Line 1401">
          <a:extLst>
            <a:ext uri="{FF2B5EF4-FFF2-40B4-BE49-F238E27FC236}">
              <a16:creationId xmlns:a16="http://schemas.microsoft.com/office/drawing/2014/main" id="{00000000-0008-0000-0000-0000B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58" name="Line 1402">
          <a:extLst>
            <a:ext uri="{FF2B5EF4-FFF2-40B4-BE49-F238E27FC236}">
              <a16:creationId xmlns:a16="http://schemas.microsoft.com/office/drawing/2014/main" id="{00000000-0008-0000-0000-0000B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59" name="Line 1403">
          <a:extLst>
            <a:ext uri="{FF2B5EF4-FFF2-40B4-BE49-F238E27FC236}">
              <a16:creationId xmlns:a16="http://schemas.microsoft.com/office/drawing/2014/main" id="{00000000-0008-0000-0000-0000B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60" name="Line 1404">
          <a:extLst>
            <a:ext uri="{FF2B5EF4-FFF2-40B4-BE49-F238E27FC236}">
              <a16:creationId xmlns:a16="http://schemas.microsoft.com/office/drawing/2014/main" id="{00000000-0008-0000-0000-0000B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61" name="Line 1405">
          <a:extLst>
            <a:ext uri="{FF2B5EF4-FFF2-40B4-BE49-F238E27FC236}">
              <a16:creationId xmlns:a16="http://schemas.microsoft.com/office/drawing/2014/main" id="{00000000-0008-0000-0000-0000B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62" name="Line 1406">
          <a:extLst>
            <a:ext uri="{FF2B5EF4-FFF2-40B4-BE49-F238E27FC236}">
              <a16:creationId xmlns:a16="http://schemas.microsoft.com/office/drawing/2014/main" id="{00000000-0008-0000-0000-0000B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63" name="Line 1407">
          <a:extLst>
            <a:ext uri="{FF2B5EF4-FFF2-40B4-BE49-F238E27FC236}">
              <a16:creationId xmlns:a16="http://schemas.microsoft.com/office/drawing/2014/main" id="{00000000-0008-0000-0000-0000B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64" name="Line 1408">
          <a:extLst>
            <a:ext uri="{FF2B5EF4-FFF2-40B4-BE49-F238E27FC236}">
              <a16:creationId xmlns:a16="http://schemas.microsoft.com/office/drawing/2014/main" id="{00000000-0008-0000-0000-0000B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65" name="Line 1409">
          <a:extLst>
            <a:ext uri="{FF2B5EF4-FFF2-40B4-BE49-F238E27FC236}">
              <a16:creationId xmlns:a16="http://schemas.microsoft.com/office/drawing/2014/main" id="{00000000-0008-0000-0000-0000B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66" name="Line 1410">
          <a:extLst>
            <a:ext uri="{FF2B5EF4-FFF2-40B4-BE49-F238E27FC236}">
              <a16:creationId xmlns:a16="http://schemas.microsoft.com/office/drawing/2014/main" id="{00000000-0008-0000-0000-0000B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67" name="Line 1411">
          <a:extLst>
            <a:ext uri="{FF2B5EF4-FFF2-40B4-BE49-F238E27FC236}">
              <a16:creationId xmlns:a16="http://schemas.microsoft.com/office/drawing/2014/main" id="{00000000-0008-0000-0000-0000BB22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68" name="Line 1412">
          <a:extLst>
            <a:ext uri="{FF2B5EF4-FFF2-40B4-BE49-F238E27FC236}">
              <a16:creationId xmlns:a16="http://schemas.microsoft.com/office/drawing/2014/main" id="{00000000-0008-0000-0000-0000B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69" name="Line 1413">
          <a:extLst>
            <a:ext uri="{FF2B5EF4-FFF2-40B4-BE49-F238E27FC236}">
              <a16:creationId xmlns:a16="http://schemas.microsoft.com/office/drawing/2014/main" id="{00000000-0008-0000-0000-0000B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70" name="Line 1414">
          <a:extLst>
            <a:ext uri="{FF2B5EF4-FFF2-40B4-BE49-F238E27FC236}">
              <a16:creationId xmlns:a16="http://schemas.microsoft.com/office/drawing/2014/main" id="{00000000-0008-0000-0000-0000B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71" name="Line 1415">
          <a:extLst>
            <a:ext uri="{FF2B5EF4-FFF2-40B4-BE49-F238E27FC236}">
              <a16:creationId xmlns:a16="http://schemas.microsoft.com/office/drawing/2014/main" id="{00000000-0008-0000-0000-0000B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72" name="Line 1416">
          <a:extLst>
            <a:ext uri="{FF2B5EF4-FFF2-40B4-BE49-F238E27FC236}">
              <a16:creationId xmlns:a16="http://schemas.microsoft.com/office/drawing/2014/main" id="{00000000-0008-0000-0000-0000C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73" name="Line 1417">
          <a:extLst>
            <a:ext uri="{FF2B5EF4-FFF2-40B4-BE49-F238E27FC236}">
              <a16:creationId xmlns:a16="http://schemas.microsoft.com/office/drawing/2014/main" id="{00000000-0008-0000-0000-0000C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74" name="Line 1418">
          <a:extLst>
            <a:ext uri="{FF2B5EF4-FFF2-40B4-BE49-F238E27FC236}">
              <a16:creationId xmlns:a16="http://schemas.microsoft.com/office/drawing/2014/main" id="{00000000-0008-0000-0000-0000C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75" name="Line 1419">
          <a:extLst>
            <a:ext uri="{FF2B5EF4-FFF2-40B4-BE49-F238E27FC236}">
              <a16:creationId xmlns:a16="http://schemas.microsoft.com/office/drawing/2014/main" id="{00000000-0008-0000-0000-0000C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76" name="Line 1420">
          <a:extLst>
            <a:ext uri="{FF2B5EF4-FFF2-40B4-BE49-F238E27FC236}">
              <a16:creationId xmlns:a16="http://schemas.microsoft.com/office/drawing/2014/main" id="{00000000-0008-0000-0000-0000C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77" name="Line 1421">
          <a:extLst>
            <a:ext uri="{FF2B5EF4-FFF2-40B4-BE49-F238E27FC236}">
              <a16:creationId xmlns:a16="http://schemas.microsoft.com/office/drawing/2014/main" id="{00000000-0008-0000-0000-0000C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78" name="Line 1422">
          <a:extLst>
            <a:ext uri="{FF2B5EF4-FFF2-40B4-BE49-F238E27FC236}">
              <a16:creationId xmlns:a16="http://schemas.microsoft.com/office/drawing/2014/main" id="{00000000-0008-0000-0000-0000C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79" name="Line 1423">
          <a:extLst>
            <a:ext uri="{FF2B5EF4-FFF2-40B4-BE49-F238E27FC236}">
              <a16:creationId xmlns:a16="http://schemas.microsoft.com/office/drawing/2014/main" id="{00000000-0008-0000-0000-0000C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80" name="Line 1424">
          <a:extLst>
            <a:ext uri="{FF2B5EF4-FFF2-40B4-BE49-F238E27FC236}">
              <a16:creationId xmlns:a16="http://schemas.microsoft.com/office/drawing/2014/main" id="{00000000-0008-0000-0000-0000C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81" name="Line 1425">
          <a:extLst>
            <a:ext uri="{FF2B5EF4-FFF2-40B4-BE49-F238E27FC236}">
              <a16:creationId xmlns:a16="http://schemas.microsoft.com/office/drawing/2014/main" id="{00000000-0008-0000-0000-0000C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82" name="Line 1426">
          <a:extLst>
            <a:ext uri="{FF2B5EF4-FFF2-40B4-BE49-F238E27FC236}">
              <a16:creationId xmlns:a16="http://schemas.microsoft.com/office/drawing/2014/main" id="{00000000-0008-0000-0000-0000C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83" name="Line 1427">
          <a:extLst>
            <a:ext uri="{FF2B5EF4-FFF2-40B4-BE49-F238E27FC236}">
              <a16:creationId xmlns:a16="http://schemas.microsoft.com/office/drawing/2014/main" id="{00000000-0008-0000-0000-0000C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84" name="Line 1428">
          <a:extLst>
            <a:ext uri="{FF2B5EF4-FFF2-40B4-BE49-F238E27FC236}">
              <a16:creationId xmlns:a16="http://schemas.microsoft.com/office/drawing/2014/main" id="{00000000-0008-0000-0000-0000C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85" name="Line 1429">
          <a:extLst>
            <a:ext uri="{FF2B5EF4-FFF2-40B4-BE49-F238E27FC236}">
              <a16:creationId xmlns:a16="http://schemas.microsoft.com/office/drawing/2014/main" id="{00000000-0008-0000-0000-0000C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86" name="Line 1430">
          <a:extLst>
            <a:ext uri="{FF2B5EF4-FFF2-40B4-BE49-F238E27FC236}">
              <a16:creationId xmlns:a16="http://schemas.microsoft.com/office/drawing/2014/main" id="{00000000-0008-0000-0000-0000C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87" name="Line 1431">
          <a:extLst>
            <a:ext uri="{FF2B5EF4-FFF2-40B4-BE49-F238E27FC236}">
              <a16:creationId xmlns:a16="http://schemas.microsoft.com/office/drawing/2014/main" id="{00000000-0008-0000-0000-0000C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88" name="Line 1432">
          <a:extLst>
            <a:ext uri="{FF2B5EF4-FFF2-40B4-BE49-F238E27FC236}">
              <a16:creationId xmlns:a16="http://schemas.microsoft.com/office/drawing/2014/main" id="{00000000-0008-0000-0000-0000D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89" name="Line 1433">
          <a:extLst>
            <a:ext uri="{FF2B5EF4-FFF2-40B4-BE49-F238E27FC236}">
              <a16:creationId xmlns:a16="http://schemas.microsoft.com/office/drawing/2014/main" id="{00000000-0008-0000-0000-0000D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90" name="Line 1434">
          <a:extLst>
            <a:ext uri="{FF2B5EF4-FFF2-40B4-BE49-F238E27FC236}">
              <a16:creationId xmlns:a16="http://schemas.microsoft.com/office/drawing/2014/main" id="{00000000-0008-0000-0000-0000D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91" name="Line 1435">
          <a:extLst>
            <a:ext uri="{FF2B5EF4-FFF2-40B4-BE49-F238E27FC236}">
              <a16:creationId xmlns:a16="http://schemas.microsoft.com/office/drawing/2014/main" id="{00000000-0008-0000-0000-0000D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92" name="Line 1436">
          <a:extLst>
            <a:ext uri="{FF2B5EF4-FFF2-40B4-BE49-F238E27FC236}">
              <a16:creationId xmlns:a16="http://schemas.microsoft.com/office/drawing/2014/main" id="{00000000-0008-0000-0000-0000D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93" name="Line 1437">
          <a:extLst>
            <a:ext uri="{FF2B5EF4-FFF2-40B4-BE49-F238E27FC236}">
              <a16:creationId xmlns:a16="http://schemas.microsoft.com/office/drawing/2014/main" id="{00000000-0008-0000-0000-0000D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94" name="Line 1438">
          <a:extLst>
            <a:ext uri="{FF2B5EF4-FFF2-40B4-BE49-F238E27FC236}">
              <a16:creationId xmlns:a16="http://schemas.microsoft.com/office/drawing/2014/main" id="{00000000-0008-0000-0000-0000D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95" name="Line 1439">
          <a:extLst>
            <a:ext uri="{FF2B5EF4-FFF2-40B4-BE49-F238E27FC236}">
              <a16:creationId xmlns:a16="http://schemas.microsoft.com/office/drawing/2014/main" id="{00000000-0008-0000-0000-0000D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96" name="Line 1440">
          <a:extLst>
            <a:ext uri="{FF2B5EF4-FFF2-40B4-BE49-F238E27FC236}">
              <a16:creationId xmlns:a16="http://schemas.microsoft.com/office/drawing/2014/main" id="{00000000-0008-0000-0000-0000D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897" name="Line 1441">
          <a:extLst>
            <a:ext uri="{FF2B5EF4-FFF2-40B4-BE49-F238E27FC236}">
              <a16:creationId xmlns:a16="http://schemas.microsoft.com/office/drawing/2014/main" id="{00000000-0008-0000-0000-0000D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98" name="Line 1442">
          <a:extLst>
            <a:ext uri="{FF2B5EF4-FFF2-40B4-BE49-F238E27FC236}">
              <a16:creationId xmlns:a16="http://schemas.microsoft.com/office/drawing/2014/main" id="{00000000-0008-0000-0000-0000D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899" name="Line 1443">
          <a:extLst>
            <a:ext uri="{FF2B5EF4-FFF2-40B4-BE49-F238E27FC236}">
              <a16:creationId xmlns:a16="http://schemas.microsoft.com/office/drawing/2014/main" id="{00000000-0008-0000-0000-0000D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00" name="Line 1444">
          <a:extLst>
            <a:ext uri="{FF2B5EF4-FFF2-40B4-BE49-F238E27FC236}">
              <a16:creationId xmlns:a16="http://schemas.microsoft.com/office/drawing/2014/main" id="{00000000-0008-0000-0000-0000D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01" name="Line 1445">
          <a:extLst>
            <a:ext uri="{FF2B5EF4-FFF2-40B4-BE49-F238E27FC236}">
              <a16:creationId xmlns:a16="http://schemas.microsoft.com/office/drawing/2014/main" id="{00000000-0008-0000-0000-0000D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02" name="Line 1446">
          <a:extLst>
            <a:ext uri="{FF2B5EF4-FFF2-40B4-BE49-F238E27FC236}">
              <a16:creationId xmlns:a16="http://schemas.microsoft.com/office/drawing/2014/main" id="{00000000-0008-0000-0000-0000D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03" name="Line 1447">
          <a:extLst>
            <a:ext uri="{FF2B5EF4-FFF2-40B4-BE49-F238E27FC236}">
              <a16:creationId xmlns:a16="http://schemas.microsoft.com/office/drawing/2014/main" id="{00000000-0008-0000-0000-0000D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04" name="Line 1448">
          <a:extLst>
            <a:ext uri="{FF2B5EF4-FFF2-40B4-BE49-F238E27FC236}">
              <a16:creationId xmlns:a16="http://schemas.microsoft.com/office/drawing/2014/main" id="{00000000-0008-0000-0000-0000E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05" name="Line 1449">
          <a:extLst>
            <a:ext uri="{FF2B5EF4-FFF2-40B4-BE49-F238E27FC236}">
              <a16:creationId xmlns:a16="http://schemas.microsoft.com/office/drawing/2014/main" id="{00000000-0008-0000-0000-0000E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06" name="Line 1450">
          <a:extLst>
            <a:ext uri="{FF2B5EF4-FFF2-40B4-BE49-F238E27FC236}">
              <a16:creationId xmlns:a16="http://schemas.microsoft.com/office/drawing/2014/main" id="{00000000-0008-0000-0000-0000E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07" name="Line 1451">
          <a:extLst>
            <a:ext uri="{FF2B5EF4-FFF2-40B4-BE49-F238E27FC236}">
              <a16:creationId xmlns:a16="http://schemas.microsoft.com/office/drawing/2014/main" id="{00000000-0008-0000-0000-0000E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08" name="Line 1452">
          <a:extLst>
            <a:ext uri="{FF2B5EF4-FFF2-40B4-BE49-F238E27FC236}">
              <a16:creationId xmlns:a16="http://schemas.microsoft.com/office/drawing/2014/main" id="{00000000-0008-0000-0000-0000E422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09" name="Line 1453">
          <a:extLst>
            <a:ext uri="{FF2B5EF4-FFF2-40B4-BE49-F238E27FC236}">
              <a16:creationId xmlns:a16="http://schemas.microsoft.com/office/drawing/2014/main" id="{00000000-0008-0000-0000-0000E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10" name="Line 1454">
          <a:extLst>
            <a:ext uri="{FF2B5EF4-FFF2-40B4-BE49-F238E27FC236}">
              <a16:creationId xmlns:a16="http://schemas.microsoft.com/office/drawing/2014/main" id="{00000000-0008-0000-0000-0000E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11" name="Line 1455">
          <a:extLst>
            <a:ext uri="{FF2B5EF4-FFF2-40B4-BE49-F238E27FC236}">
              <a16:creationId xmlns:a16="http://schemas.microsoft.com/office/drawing/2014/main" id="{00000000-0008-0000-0000-0000E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12" name="Line 1456">
          <a:extLst>
            <a:ext uri="{FF2B5EF4-FFF2-40B4-BE49-F238E27FC236}">
              <a16:creationId xmlns:a16="http://schemas.microsoft.com/office/drawing/2014/main" id="{00000000-0008-0000-0000-0000E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13" name="Line 1457">
          <a:extLst>
            <a:ext uri="{FF2B5EF4-FFF2-40B4-BE49-F238E27FC236}">
              <a16:creationId xmlns:a16="http://schemas.microsoft.com/office/drawing/2014/main" id="{00000000-0008-0000-0000-0000E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14" name="Line 1458">
          <a:extLst>
            <a:ext uri="{FF2B5EF4-FFF2-40B4-BE49-F238E27FC236}">
              <a16:creationId xmlns:a16="http://schemas.microsoft.com/office/drawing/2014/main" id="{00000000-0008-0000-0000-0000E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15" name="Line 1459">
          <a:extLst>
            <a:ext uri="{FF2B5EF4-FFF2-40B4-BE49-F238E27FC236}">
              <a16:creationId xmlns:a16="http://schemas.microsoft.com/office/drawing/2014/main" id="{00000000-0008-0000-0000-0000E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16" name="Line 1460">
          <a:extLst>
            <a:ext uri="{FF2B5EF4-FFF2-40B4-BE49-F238E27FC236}">
              <a16:creationId xmlns:a16="http://schemas.microsoft.com/office/drawing/2014/main" id="{00000000-0008-0000-0000-0000E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17" name="Line 1461">
          <a:extLst>
            <a:ext uri="{FF2B5EF4-FFF2-40B4-BE49-F238E27FC236}">
              <a16:creationId xmlns:a16="http://schemas.microsoft.com/office/drawing/2014/main" id="{00000000-0008-0000-0000-0000ED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18" name="Line 1462">
          <a:extLst>
            <a:ext uri="{FF2B5EF4-FFF2-40B4-BE49-F238E27FC236}">
              <a16:creationId xmlns:a16="http://schemas.microsoft.com/office/drawing/2014/main" id="{00000000-0008-0000-0000-0000E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19" name="Line 1463">
          <a:extLst>
            <a:ext uri="{FF2B5EF4-FFF2-40B4-BE49-F238E27FC236}">
              <a16:creationId xmlns:a16="http://schemas.microsoft.com/office/drawing/2014/main" id="{00000000-0008-0000-0000-0000E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20" name="Line 1464">
          <a:extLst>
            <a:ext uri="{FF2B5EF4-FFF2-40B4-BE49-F238E27FC236}">
              <a16:creationId xmlns:a16="http://schemas.microsoft.com/office/drawing/2014/main" id="{00000000-0008-0000-0000-0000F0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21" name="Line 1465">
          <a:extLst>
            <a:ext uri="{FF2B5EF4-FFF2-40B4-BE49-F238E27FC236}">
              <a16:creationId xmlns:a16="http://schemas.microsoft.com/office/drawing/2014/main" id="{00000000-0008-0000-0000-0000F1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22" name="Line 1466">
          <a:extLst>
            <a:ext uri="{FF2B5EF4-FFF2-40B4-BE49-F238E27FC236}">
              <a16:creationId xmlns:a16="http://schemas.microsoft.com/office/drawing/2014/main" id="{00000000-0008-0000-0000-0000F2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23" name="Line 1467">
          <a:extLst>
            <a:ext uri="{FF2B5EF4-FFF2-40B4-BE49-F238E27FC236}">
              <a16:creationId xmlns:a16="http://schemas.microsoft.com/office/drawing/2014/main" id="{00000000-0008-0000-0000-0000F3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24" name="Line 1468">
          <a:extLst>
            <a:ext uri="{FF2B5EF4-FFF2-40B4-BE49-F238E27FC236}">
              <a16:creationId xmlns:a16="http://schemas.microsoft.com/office/drawing/2014/main" id="{00000000-0008-0000-0000-0000F4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25" name="Line 1469">
          <a:extLst>
            <a:ext uri="{FF2B5EF4-FFF2-40B4-BE49-F238E27FC236}">
              <a16:creationId xmlns:a16="http://schemas.microsoft.com/office/drawing/2014/main" id="{00000000-0008-0000-0000-0000F5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26" name="Line 1470">
          <a:extLst>
            <a:ext uri="{FF2B5EF4-FFF2-40B4-BE49-F238E27FC236}">
              <a16:creationId xmlns:a16="http://schemas.microsoft.com/office/drawing/2014/main" id="{00000000-0008-0000-0000-0000F6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27" name="Line 1471">
          <a:extLst>
            <a:ext uri="{FF2B5EF4-FFF2-40B4-BE49-F238E27FC236}">
              <a16:creationId xmlns:a16="http://schemas.microsoft.com/office/drawing/2014/main" id="{00000000-0008-0000-0000-0000F7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28" name="Line 1472">
          <a:extLst>
            <a:ext uri="{FF2B5EF4-FFF2-40B4-BE49-F238E27FC236}">
              <a16:creationId xmlns:a16="http://schemas.microsoft.com/office/drawing/2014/main" id="{00000000-0008-0000-0000-0000F8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29" name="Line 1473">
          <a:extLst>
            <a:ext uri="{FF2B5EF4-FFF2-40B4-BE49-F238E27FC236}">
              <a16:creationId xmlns:a16="http://schemas.microsoft.com/office/drawing/2014/main" id="{00000000-0008-0000-0000-0000F9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30" name="Line 1474">
          <a:extLst>
            <a:ext uri="{FF2B5EF4-FFF2-40B4-BE49-F238E27FC236}">
              <a16:creationId xmlns:a16="http://schemas.microsoft.com/office/drawing/2014/main" id="{00000000-0008-0000-0000-0000FA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31" name="Line 1475">
          <a:extLst>
            <a:ext uri="{FF2B5EF4-FFF2-40B4-BE49-F238E27FC236}">
              <a16:creationId xmlns:a16="http://schemas.microsoft.com/office/drawing/2014/main" id="{00000000-0008-0000-0000-0000FB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32" name="Line 1476">
          <a:extLst>
            <a:ext uri="{FF2B5EF4-FFF2-40B4-BE49-F238E27FC236}">
              <a16:creationId xmlns:a16="http://schemas.microsoft.com/office/drawing/2014/main" id="{00000000-0008-0000-0000-0000FC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33" name="Line 1477">
          <a:extLst>
            <a:ext uri="{FF2B5EF4-FFF2-40B4-BE49-F238E27FC236}">
              <a16:creationId xmlns:a16="http://schemas.microsoft.com/office/drawing/2014/main" id="{00000000-0008-0000-0000-0000FD22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34" name="Line 1478">
          <a:extLst>
            <a:ext uri="{FF2B5EF4-FFF2-40B4-BE49-F238E27FC236}">
              <a16:creationId xmlns:a16="http://schemas.microsoft.com/office/drawing/2014/main" id="{00000000-0008-0000-0000-0000FE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35" name="Line 1479">
          <a:extLst>
            <a:ext uri="{FF2B5EF4-FFF2-40B4-BE49-F238E27FC236}">
              <a16:creationId xmlns:a16="http://schemas.microsoft.com/office/drawing/2014/main" id="{00000000-0008-0000-0000-0000FF22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36" name="Line 1480">
          <a:extLst>
            <a:ext uri="{FF2B5EF4-FFF2-40B4-BE49-F238E27FC236}">
              <a16:creationId xmlns:a16="http://schemas.microsoft.com/office/drawing/2014/main" id="{00000000-0008-0000-0000-00000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37" name="Line 1481">
          <a:extLst>
            <a:ext uri="{FF2B5EF4-FFF2-40B4-BE49-F238E27FC236}">
              <a16:creationId xmlns:a16="http://schemas.microsoft.com/office/drawing/2014/main" id="{00000000-0008-0000-0000-00000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38" name="Line 1482">
          <a:extLst>
            <a:ext uri="{FF2B5EF4-FFF2-40B4-BE49-F238E27FC236}">
              <a16:creationId xmlns:a16="http://schemas.microsoft.com/office/drawing/2014/main" id="{00000000-0008-0000-0000-00000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39" name="Line 1483">
          <a:extLst>
            <a:ext uri="{FF2B5EF4-FFF2-40B4-BE49-F238E27FC236}">
              <a16:creationId xmlns:a16="http://schemas.microsoft.com/office/drawing/2014/main" id="{00000000-0008-0000-0000-00000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40" name="Line 1484">
          <a:extLst>
            <a:ext uri="{FF2B5EF4-FFF2-40B4-BE49-F238E27FC236}">
              <a16:creationId xmlns:a16="http://schemas.microsoft.com/office/drawing/2014/main" id="{00000000-0008-0000-0000-00000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41" name="Line 1485">
          <a:extLst>
            <a:ext uri="{FF2B5EF4-FFF2-40B4-BE49-F238E27FC236}">
              <a16:creationId xmlns:a16="http://schemas.microsoft.com/office/drawing/2014/main" id="{00000000-0008-0000-0000-00000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42" name="Line 1486">
          <a:extLst>
            <a:ext uri="{FF2B5EF4-FFF2-40B4-BE49-F238E27FC236}">
              <a16:creationId xmlns:a16="http://schemas.microsoft.com/office/drawing/2014/main" id="{00000000-0008-0000-0000-00000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43" name="Line 1487">
          <a:extLst>
            <a:ext uri="{FF2B5EF4-FFF2-40B4-BE49-F238E27FC236}">
              <a16:creationId xmlns:a16="http://schemas.microsoft.com/office/drawing/2014/main" id="{00000000-0008-0000-0000-00000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44" name="Line 1488">
          <a:extLst>
            <a:ext uri="{FF2B5EF4-FFF2-40B4-BE49-F238E27FC236}">
              <a16:creationId xmlns:a16="http://schemas.microsoft.com/office/drawing/2014/main" id="{00000000-0008-0000-0000-00000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45" name="Line 1489">
          <a:extLst>
            <a:ext uri="{FF2B5EF4-FFF2-40B4-BE49-F238E27FC236}">
              <a16:creationId xmlns:a16="http://schemas.microsoft.com/office/drawing/2014/main" id="{00000000-0008-0000-0000-00000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46" name="Line 1490">
          <a:extLst>
            <a:ext uri="{FF2B5EF4-FFF2-40B4-BE49-F238E27FC236}">
              <a16:creationId xmlns:a16="http://schemas.microsoft.com/office/drawing/2014/main" id="{00000000-0008-0000-0000-00000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47" name="Line 1491">
          <a:extLst>
            <a:ext uri="{FF2B5EF4-FFF2-40B4-BE49-F238E27FC236}">
              <a16:creationId xmlns:a16="http://schemas.microsoft.com/office/drawing/2014/main" id="{00000000-0008-0000-0000-00000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48" name="Line 1492">
          <a:extLst>
            <a:ext uri="{FF2B5EF4-FFF2-40B4-BE49-F238E27FC236}">
              <a16:creationId xmlns:a16="http://schemas.microsoft.com/office/drawing/2014/main" id="{00000000-0008-0000-0000-00000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49" name="Line 1493">
          <a:extLst>
            <a:ext uri="{FF2B5EF4-FFF2-40B4-BE49-F238E27FC236}">
              <a16:creationId xmlns:a16="http://schemas.microsoft.com/office/drawing/2014/main" id="{00000000-0008-0000-0000-00000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50" name="Line 1494">
          <a:extLst>
            <a:ext uri="{FF2B5EF4-FFF2-40B4-BE49-F238E27FC236}">
              <a16:creationId xmlns:a16="http://schemas.microsoft.com/office/drawing/2014/main" id="{00000000-0008-0000-0000-00000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51" name="Line 1495">
          <a:extLst>
            <a:ext uri="{FF2B5EF4-FFF2-40B4-BE49-F238E27FC236}">
              <a16:creationId xmlns:a16="http://schemas.microsoft.com/office/drawing/2014/main" id="{00000000-0008-0000-0000-00000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52" name="Line 1496">
          <a:extLst>
            <a:ext uri="{FF2B5EF4-FFF2-40B4-BE49-F238E27FC236}">
              <a16:creationId xmlns:a16="http://schemas.microsoft.com/office/drawing/2014/main" id="{00000000-0008-0000-0000-00001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53" name="Line 1497">
          <a:extLst>
            <a:ext uri="{FF2B5EF4-FFF2-40B4-BE49-F238E27FC236}">
              <a16:creationId xmlns:a16="http://schemas.microsoft.com/office/drawing/2014/main" id="{00000000-0008-0000-0000-00001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54" name="Line 1498">
          <a:extLst>
            <a:ext uri="{FF2B5EF4-FFF2-40B4-BE49-F238E27FC236}">
              <a16:creationId xmlns:a16="http://schemas.microsoft.com/office/drawing/2014/main" id="{00000000-0008-0000-0000-00001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55" name="Line 1499">
          <a:extLst>
            <a:ext uri="{FF2B5EF4-FFF2-40B4-BE49-F238E27FC236}">
              <a16:creationId xmlns:a16="http://schemas.microsoft.com/office/drawing/2014/main" id="{00000000-0008-0000-0000-00001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56" name="Line 1500">
          <a:extLst>
            <a:ext uri="{FF2B5EF4-FFF2-40B4-BE49-F238E27FC236}">
              <a16:creationId xmlns:a16="http://schemas.microsoft.com/office/drawing/2014/main" id="{00000000-0008-0000-0000-00001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57" name="Line 1501">
          <a:extLst>
            <a:ext uri="{FF2B5EF4-FFF2-40B4-BE49-F238E27FC236}">
              <a16:creationId xmlns:a16="http://schemas.microsoft.com/office/drawing/2014/main" id="{00000000-0008-0000-0000-00001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58" name="Line 1502">
          <a:extLst>
            <a:ext uri="{FF2B5EF4-FFF2-40B4-BE49-F238E27FC236}">
              <a16:creationId xmlns:a16="http://schemas.microsoft.com/office/drawing/2014/main" id="{00000000-0008-0000-0000-00001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59" name="Line 1503">
          <a:extLst>
            <a:ext uri="{FF2B5EF4-FFF2-40B4-BE49-F238E27FC236}">
              <a16:creationId xmlns:a16="http://schemas.microsoft.com/office/drawing/2014/main" id="{00000000-0008-0000-0000-00001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60" name="Line 1504">
          <a:extLst>
            <a:ext uri="{FF2B5EF4-FFF2-40B4-BE49-F238E27FC236}">
              <a16:creationId xmlns:a16="http://schemas.microsoft.com/office/drawing/2014/main" id="{00000000-0008-0000-0000-00001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61" name="Line 1505">
          <a:extLst>
            <a:ext uri="{FF2B5EF4-FFF2-40B4-BE49-F238E27FC236}">
              <a16:creationId xmlns:a16="http://schemas.microsoft.com/office/drawing/2014/main" id="{00000000-0008-0000-0000-00001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62" name="Line 1506">
          <a:extLst>
            <a:ext uri="{FF2B5EF4-FFF2-40B4-BE49-F238E27FC236}">
              <a16:creationId xmlns:a16="http://schemas.microsoft.com/office/drawing/2014/main" id="{00000000-0008-0000-0000-00001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63" name="Line 1507">
          <a:extLst>
            <a:ext uri="{FF2B5EF4-FFF2-40B4-BE49-F238E27FC236}">
              <a16:creationId xmlns:a16="http://schemas.microsoft.com/office/drawing/2014/main" id="{00000000-0008-0000-0000-00001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64" name="Line 1508">
          <a:extLst>
            <a:ext uri="{FF2B5EF4-FFF2-40B4-BE49-F238E27FC236}">
              <a16:creationId xmlns:a16="http://schemas.microsoft.com/office/drawing/2014/main" id="{00000000-0008-0000-0000-00001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65" name="Line 1509">
          <a:extLst>
            <a:ext uri="{FF2B5EF4-FFF2-40B4-BE49-F238E27FC236}">
              <a16:creationId xmlns:a16="http://schemas.microsoft.com/office/drawing/2014/main" id="{00000000-0008-0000-0000-00001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66" name="Line 1510">
          <a:extLst>
            <a:ext uri="{FF2B5EF4-FFF2-40B4-BE49-F238E27FC236}">
              <a16:creationId xmlns:a16="http://schemas.microsoft.com/office/drawing/2014/main" id="{00000000-0008-0000-0000-00001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67" name="Line 1511">
          <a:extLst>
            <a:ext uri="{FF2B5EF4-FFF2-40B4-BE49-F238E27FC236}">
              <a16:creationId xmlns:a16="http://schemas.microsoft.com/office/drawing/2014/main" id="{00000000-0008-0000-0000-00001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68" name="Line 1512">
          <a:extLst>
            <a:ext uri="{FF2B5EF4-FFF2-40B4-BE49-F238E27FC236}">
              <a16:creationId xmlns:a16="http://schemas.microsoft.com/office/drawing/2014/main" id="{00000000-0008-0000-0000-00002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69" name="Line 1513">
          <a:extLst>
            <a:ext uri="{FF2B5EF4-FFF2-40B4-BE49-F238E27FC236}">
              <a16:creationId xmlns:a16="http://schemas.microsoft.com/office/drawing/2014/main" id="{00000000-0008-0000-0000-00002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70" name="Line 1514">
          <a:extLst>
            <a:ext uri="{FF2B5EF4-FFF2-40B4-BE49-F238E27FC236}">
              <a16:creationId xmlns:a16="http://schemas.microsoft.com/office/drawing/2014/main" id="{00000000-0008-0000-0000-00002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71" name="Line 1515">
          <a:extLst>
            <a:ext uri="{FF2B5EF4-FFF2-40B4-BE49-F238E27FC236}">
              <a16:creationId xmlns:a16="http://schemas.microsoft.com/office/drawing/2014/main" id="{00000000-0008-0000-0000-00002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72" name="Line 1516">
          <a:extLst>
            <a:ext uri="{FF2B5EF4-FFF2-40B4-BE49-F238E27FC236}">
              <a16:creationId xmlns:a16="http://schemas.microsoft.com/office/drawing/2014/main" id="{00000000-0008-0000-0000-00002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73" name="Line 1517">
          <a:extLst>
            <a:ext uri="{FF2B5EF4-FFF2-40B4-BE49-F238E27FC236}">
              <a16:creationId xmlns:a16="http://schemas.microsoft.com/office/drawing/2014/main" id="{00000000-0008-0000-0000-00002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74" name="Line 1518">
          <a:extLst>
            <a:ext uri="{FF2B5EF4-FFF2-40B4-BE49-F238E27FC236}">
              <a16:creationId xmlns:a16="http://schemas.microsoft.com/office/drawing/2014/main" id="{00000000-0008-0000-0000-00002623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75" name="Line 1519">
          <a:extLst>
            <a:ext uri="{FF2B5EF4-FFF2-40B4-BE49-F238E27FC236}">
              <a16:creationId xmlns:a16="http://schemas.microsoft.com/office/drawing/2014/main" id="{00000000-0008-0000-0000-00002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76" name="Line 1520">
          <a:extLst>
            <a:ext uri="{FF2B5EF4-FFF2-40B4-BE49-F238E27FC236}">
              <a16:creationId xmlns:a16="http://schemas.microsoft.com/office/drawing/2014/main" id="{00000000-0008-0000-0000-00002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77" name="Line 1521">
          <a:extLst>
            <a:ext uri="{FF2B5EF4-FFF2-40B4-BE49-F238E27FC236}">
              <a16:creationId xmlns:a16="http://schemas.microsoft.com/office/drawing/2014/main" id="{00000000-0008-0000-0000-00002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78" name="Line 1522">
          <a:extLst>
            <a:ext uri="{FF2B5EF4-FFF2-40B4-BE49-F238E27FC236}">
              <a16:creationId xmlns:a16="http://schemas.microsoft.com/office/drawing/2014/main" id="{00000000-0008-0000-0000-00002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79" name="Line 1523">
          <a:extLst>
            <a:ext uri="{FF2B5EF4-FFF2-40B4-BE49-F238E27FC236}">
              <a16:creationId xmlns:a16="http://schemas.microsoft.com/office/drawing/2014/main" id="{00000000-0008-0000-0000-00002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80" name="Line 1524">
          <a:extLst>
            <a:ext uri="{FF2B5EF4-FFF2-40B4-BE49-F238E27FC236}">
              <a16:creationId xmlns:a16="http://schemas.microsoft.com/office/drawing/2014/main" id="{00000000-0008-0000-0000-00002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81" name="Line 1525">
          <a:extLst>
            <a:ext uri="{FF2B5EF4-FFF2-40B4-BE49-F238E27FC236}">
              <a16:creationId xmlns:a16="http://schemas.microsoft.com/office/drawing/2014/main" id="{00000000-0008-0000-0000-00002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82" name="Line 1526">
          <a:extLst>
            <a:ext uri="{FF2B5EF4-FFF2-40B4-BE49-F238E27FC236}">
              <a16:creationId xmlns:a16="http://schemas.microsoft.com/office/drawing/2014/main" id="{00000000-0008-0000-0000-00002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83" name="Line 1527">
          <a:extLst>
            <a:ext uri="{FF2B5EF4-FFF2-40B4-BE49-F238E27FC236}">
              <a16:creationId xmlns:a16="http://schemas.microsoft.com/office/drawing/2014/main" id="{00000000-0008-0000-0000-00002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84" name="Line 1528">
          <a:extLst>
            <a:ext uri="{FF2B5EF4-FFF2-40B4-BE49-F238E27FC236}">
              <a16:creationId xmlns:a16="http://schemas.microsoft.com/office/drawing/2014/main" id="{00000000-0008-0000-0000-00003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85" name="Line 1529">
          <a:extLst>
            <a:ext uri="{FF2B5EF4-FFF2-40B4-BE49-F238E27FC236}">
              <a16:creationId xmlns:a16="http://schemas.microsoft.com/office/drawing/2014/main" id="{00000000-0008-0000-0000-00003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86" name="Line 1530">
          <a:extLst>
            <a:ext uri="{FF2B5EF4-FFF2-40B4-BE49-F238E27FC236}">
              <a16:creationId xmlns:a16="http://schemas.microsoft.com/office/drawing/2014/main" id="{00000000-0008-0000-0000-00003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87" name="Line 1531">
          <a:extLst>
            <a:ext uri="{FF2B5EF4-FFF2-40B4-BE49-F238E27FC236}">
              <a16:creationId xmlns:a16="http://schemas.microsoft.com/office/drawing/2014/main" id="{00000000-0008-0000-0000-00003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88" name="Line 1532">
          <a:extLst>
            <a:ext uri="{FF2B5EF4-FFF2-40B4-BE49-F238E27FC236}">
              <a16:creationId xmlns:a16="http://schemas.microsoft.com/office/drawing/2014/main" id="{00000000-0008-0000-0000-00003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89" name="Line 1533">
          <a:extLst>
            <a:ext uri="{FF2B5EF4-FFF2-40B4-BE49-F238E27FC236}">
              <a16:creationId xmlns:a16="http://schemas.microsoft.com/office/drawing/2014/main" id="{00000000-0008-0000-0000-00003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90" name="Line 1534">
          <a:extLst>
            <a:ext uri="{FF2B5EF4-FFF2-40B4-BE49-F238E27FC236}">
              <a16:creationId xmlns:a16="http://schemas.microsoft.com/office/drawing/2014/main" id="{00000000-0008-0000-0000-00003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91" name="Line 1535">
          <a:extLst>
            <a:ext uri="{FF2B5EF4-FFF2-40B4-BE49-F238E27FC236}">
              <a16:creationId xmlns:a16="http://schemas.microsoft.com/office/drawing/2014/main" id="{00000000-0008-0000-0000-00003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92" name="Line 1536">
          <a:extLst>
            <a:ext uri="{FF2B5EF4-FFF2-40B4-BE49-F238E27FC236}">
              <a16:creationId xmlns:a16="http://schemas.microsoft.com/office/drawing/2014/main" id="{00000000-0008-0000-0000-00003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93" name="Line 1537">
          <a:extLst>
            <a:ext uri="{FF2B5EF4-FFF2-40B4-BE49-F238E27FC236}">
              <a16:creationId xmlns:a16="http://schemas.microsoft.com/office/drawing/2014/main" id="{00000000-0008-0000-0000-00003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94" name="Line 1538">
          <a:extLst>
            <a:ext uri="{FF2B5EF4-FFF2-40B4-BE49-F238E27FC236}">
              <a16:creationId xmlns:a16="http://schemas.microsoft.com/office/drawing/2014/main" id="{00000000-0008-0000-0000-00003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95" name="Line 1539">
          <a:extLst>
            <a:ext uri="{FF2B5EF4-FFF2-40B4-BE49-F238E27FC236}">
              <a16:creationId xmlns:a16="http://schemas.microsoft.com/office/drawing/2014/main" id="{00000000-0008-0000-0000-00003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96" name="Line 1540">
          <a:extLst>
            <a:ext uri="{FF2B5EF4-FFF2-40B4-BE49-F238E27FC236}">
              <a16:creationId xmlns:a16="http://schemas.microsoft.com/office/drawing/2014/main" id="{00000000-0008-0000-0000-00003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97" name="Line 1541">
          <a:extLst>
            <a:ext uri="{FF2B5EF4-FFF2-40B4-BE49-F238E27FC236}">
              <a16:creationId xmlns:a16="http://schemas.microsoft.com/office/drawing/2014/main" id="{00000000-0008-0000-0000-00003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5998" name="Line 1542">
          <a:extLst>
            <a:ext uri="{FF2B5EF4-FFF2-40B4-BE49-F238E27FC236}">
              <a16:creationId xmlns:a16="http://schemas.microsoft.com/office/drawing/2014/main" id="{00000000-0008-0000-0000-00003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5999" name="Line 1543">
          <a:extLst>
            <a:ext uri="{FF2B5EF4-FFF2-40B4-BE49-F238E27FC236}">
              <a16:creationId xmlns:a16="http://schemas.microsoft.com/office/drawing/2014/main" id="{00000000-0008-0000-0000-00003F23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00" name="Line 1544">
          <a:extLst>
            <a:ext uri="{FF2B5EF4-FFF2-40B4-BE49-F238E27FC236}">
              <a16:creationId xmlns:a16="http://schemas.microsoft.com/office/drawing/2014/main" id="{00000000-0008-0000-0000-00004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01" name="Line 1545">
          <a:extLst>
            <a:ext uri="{FF2B5EF4-FFF2-40B4-BE49-F238E27FC236}">
              <a16:creationId xmlns:a16="http://schemas.microsoft.com/office/drawing/2014/main" id="{00000000-0008-0000-0000-00004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02" name="Line 1546">
          <a:extLst>
            <a:ext uri="{FF2B5EF4-FFF2-40B4-BE49-F238E27FC236}">
              <a16:creationId xmlns:a16="http://schemas.microsoft.com/office/drawing/2014/main" id="{00000000-0008-0000-0000-00004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03" name="Line 1547">
          <a:extLst>
            <a:ext uri="{FF2B5EF4-FFF2-40B4-BE49-F238E27FC236}">
              <a16:creationId xmlns:a16="http://schemas.microsoft.com/office/drawing/2014/main" id="{00000000-0008-0000-0000-00004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04" name="Line 1548">
          <a:extLst>
            <a:ext uri="{FF2B5EF4-FFF2-40B4-BE49-F238E27FC236}">
              <a16:creationId xmlns:a16="http://schemas.microsoft.com/office/drawing/2014/main" id="{00000000-0008-0000-0000-00004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05" name="Line 1549">
          <a:extLst>
            <a:ext uri="{FF2B5EF4-FFF2-40B4-BE49-F238E27FC236}">
              <a16:creationId xmlns:a16="http://schemas.microsoft.com/office/drawing/2014/main" id="{00000000-0008-0000-0000-00004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06" name="Line 1550">
          <a:extLst>
            <a:ext uri="{FF2B5EF4-FFF2-40B4-BE49-F238E27FC236}">
              <a16:creationId xmlns:a16="http://schemas.microsoft.com/office/drawing/2014/main" id="{00000000-0008-0000-0000-00004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07" name="Line 1551">
          <a:extLst>
            <a:ext uri="{FF2B5EF4-FFF2-40B4-BE49-F238E27FC236}">
              <a16:creationId xmlns:a16="http://schemas.microsoft.com/office/drawing/2014/main" id="{00000000-0008-0000-0000-00004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08" name="Line 1552">
          <a:extLst>
            <a:ext uri="{FF2B5EF4-FFF2-40B4-BE49-F238E27FC236}">
              <a16:creationId xmlns:a16="http://schemas.microsoft.com/office/drawing/2014/main" id="{00000000-0008-0000-0000-00004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09" name="Line 1553">
          <a:extLst>
            <a:ext uri="{FF2B5EF4-FFF2-40B4-BE49-F238E27FC236}">
              <a16:creationId xmlns:a16="http://schemas.microsoft.com/office/drawing/2014/main" id="{00000000-0008-0000-0000-00004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10" name="Line 1554">
          <a:extLst>
            <a:ext uri="{FF2B5EF4-FFF2-40B4-BE49-F238E27FC236}">
              <a16:creationId xmlns:a16="http://schemas.microsoft.com/office/drawing/2014/main" id="{00000000-0008-0000-0000-00004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11" name="Line 1555">
          <a:extLst>
            <a:ext uri="{FF2B5EF4-FFF2-40B4-BE49-F238E27FC236}">
              <a16:creationId xmlns:a16="http://schemas.microsoft.com/office/drawing/2014/main" id="{00000000-0008-0000-0000-00004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12" name="Line 1556">
          <a:extLst>
            <a:ext uri="{FF2B5EF4-FFF2-40B4-BE49-F238E27FC236}">
              <a16:creationId xmlns:a16="http://schemas.microsoft.com/office/drawing/2014/main" id="{00000000-0008-0000-0000-00004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13" name="Line 1557">
          <a:extLst>
            <a:ext uri="{FF2B5EF4-FFF2-40B4-BE49-F238E27FC236}">
              <a16:creationId xmlns:a16="http://schemas.microsoft.com/office/drawing/2014/main" id="{00000000-0008-0000-0000-00004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14" name="Line 1558">
          <a:extLst>
            <a:ext uri="{FF2B5EF4-FFF2-40B4-BE49-F238E27FC236}">
              <a16:creationId xmlns:a16="http://schemas.microsoft.com/office/drawing/2014/main" id="{00000000-0008-0000-0000-00004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15" name="Line 1559">
          <a:extLst>
            <a:ext uri="{FF2B5EF4-FFF2-40B4-BE49-F238E27FC236}">
              <a16:creationId xmlns:a16="http://schemas.microsoft.com/office/drawing/2014/main" id="{00000000-0008-0000-0000-00004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16" name="Line 1560">
          <a:extLst>
            <a:ext uri="{FF2B5EF4-FFF2-40B4-BE49-F238E27FC236}">
              <a16:creationId xmlns:a16="http://schemas.microsoft.com/office/drawing/2014/main" id="{00000000-0008-0000-0000-00005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17" name="Line 1561">
          <a:extLst>
            <a:ext uri="{FF2B5EF4-FFF2-40B4-BE49-F238E27FC236}">
              <a16:creationId xmlns:a16="http://schemas.microsoft.com/office/drawing/2014/main" id="{00000000-0008-0000-0000-00005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18" name="Line 1562">
          <a:extLst>
            <a:ext uri="{FF2B5EF4-FFF2-40B4-BE49-F238E27FC236}">
              <a16:creationId xmlns:a16="http://schemas.microsoft.com/office/drawing/2014/main" id="{00000000-0008-0000-0000-00005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19" name="Line 1563">
          <a:extLst>
            <a:ext uri="{FF2B5EF4-FFF2-40B4-BE49-F238E27FC236}">
              <a16:creationId xmlns:a16="http://schemas.microsoft.com/office/drawing/2014/main" id="{00000000-0008-0000-0000-00005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20" name="Line 1564">
          <a:extLst>
            <a:ext uri="{FF2B5EF4-FFF2-40B4-BE49-F238E27FC236}">
              <a16:creationId xmlns:a16="http://schemas.microsoft.com/office/drawing/2014/main" id="{00000000-0008-0000-0000-00005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21" name="Line 1565">
          <a:extLst>
            <a:ext uri="{FF2B5EF4-FFF2-40B4-BE49-F238E27FC236}">
              <a16:creationId xmlns:a16="http://schemas.microsoft.com/office/drawing/2014/main" id="{00000000-0008-0000-0000-00005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22" name="Line 1566">
          <a:extLst>
            <a:ext uri="{FF2B5EF4-FFF2-40B4-BE49-F238E27FC236}">
              <a16:creationId xmlns:a16="http://schemas.microsoft.com/office/drawing/2014/main" id="{00000000-0008-0000-0000-00005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23" name="Line 1567">
          <a:extLst>
            <a:ext uri="{FF2B5EF4-FFF2-40B4-BE49-F238E27FC236}">
              <a16:creationId xmlns:a16="http://schemas.microsoft.com/office/drawing/2014/main" id="{00000000-0008-0000-0000-00005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24" name="Line 1568">
          <a:extLst>
            <a:ext uri="{FF2B5EF4-FFF2-40B4-BE49-F238E27FC236}">
              <a16:creationId xmlns:a16="http://schemas.microsoft.com/office/drawing/2014/main" id="{00000000-0008-0000-0000-00005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25" name="Line 1569">
          <a:extLst>
            <a:ext uri="{FF2B5EF4-FFF2-40B4-BE49-F238E27FC236}">
              <a16:creationId xmlns:a16="http://schemas.microsoft.com/office/drawing/2014/main" id="{00000000-0008-0000-0000-00005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26" name="Line 1570">
          <a:extLst>
            <a:ext uri="{FF2B5EF4-FFF2-40B4-BE49-F238E27FC236}">
              <a16:creationId xmlns:a16="http://schemas.microsoft.com/office/drawing/2014/main" id="{00000000-0008-0000-0000-00005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27" name="Line 1571">
          <a:extLst>
            <a:ext uri="{FF2B5EF4-FFF2-40B4-BE49-F238E27FC236}">
              <a16:creationId xmlns:a16="http://schemas.microsoft.com/office/drawing/2014/main" id="{00000000-0008-0000-0000-00005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28" name="Line 1572">
          <a:extLst>
            <a:ext uri="{FF2B5EF4-FFF2-40B4-BE49-F238E27FC236}">
              <a16:creationId xmlns:a16="http://schemas.microsoft.com/office/drawing/2014/main" id="{00000000-0008-0000-0000-00005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29" name="Line 1573">
          <a:extLst>
            <a:ext uri="{FF2B5EF4-FFF2-40B4-BE49-F238E27FC236}">
              <a16:creationId xmlns:a16="http://schemas.microsoft.com/office/drawing/2014/main" id="{00000000-0008-0000-0000-00005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30" name="Line 1574">
          <a:extLst>
            <a:ext uri="{FF2B5EF4-FFF2-40B4-BE49-F238E27FC236}">
              <a16:creationId xmlns:a16="http://schemas.microsoft.com/office/drawing/2014/main" id="{00000000-0008-0000-0000-00005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31" name="Line 1575">
          <a:extLst>
            <a:ext uri="{FF2B5EF4-FFF2-40B4-BE49-F238E27FC236}">
              <a16:creationId xmlns:a16="http://schemas.microsoft.com/office/drawing/2014/main" id="{00000000-0008-0000-0000-00005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32" name="Line 1576">
          <a:extLst>
            <a:ext uri="{FF2B5EF4-FFF2-40B4-BE49-F238E27FC236}">
              <a16:creationId xmlns:a16="http://schemas.microsoft.com/office/drawing/2014/main" id="{00000000-0008-0000-0000-00006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33" name="Line 1577">
          <a:extLst>
            <a:ext uri="{FF2B5EF4-FFF2-40B4-BE49-F238E27FC236}">
              <a16:creationId xmlns:a16="http://schemas.microsoft.com/office/drawing/2014/main" id="{00000000-0008-0000-0000-00006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34" name="Line 1578">
          <a:extLst>
            <a:ext uri="{FF2B5EF4-FFF2-40B4-BE49-F238E27FC236}">
              <a16:creationId xmlns:a16="http://schemas.microsoft.com/office/drawing/2014/main" id="{00000000-0008-0000-0000-00006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35" name="Line 1579">
          <a:extLst>
            <a:ext uri="{FF2B5EF4-FFF2-40B4-BE49-F238E27FC236}">
              <a16:creationId xmlns:a16="http://schemas.microsoft.com/office/drawing/2014/main" id="{00000000-0008-0000-0000-00006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36" name="Line 1580">
          <a:extLst>
            <a:ext uri="{FF2B5EF4-FFF2-40B4-BE49-F238E27FC236}">
              <a16:creationId xmlns:a16="http://schemas.microsoft.com/office/drawing/2014/main" id="{00000000-0008-0000-0000-00006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37" name="Line 1581">
          <a:extLst>
            <a:ext uri="{FF2B5EF4-FFF2-40B4-BE49-F238E27FC236}">
              <a16:creationId xmlns:a16="http://schemas.microsoft.com/office/drawing/2014/main" id="{00000000-0008-0000-0000-00006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38" name="Line 1582">
          <a:extLst>
            <a:ext uri="{FF2B5EF4-FFF2-40B4-BE49-F238E27FC236}">
              <a16:creationId xmlns:a16="http://schemas.microsoft.com/office/drawing/2014/main" id="{00000000-0008-0000-0000-00006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39" name="Line 1583">
          <a:extLst>
            <a:ext uri="{FF2B5EF4-FFF2-40B4-BE49-F238E27FC236}">
              <a16:creationId xmlns:a16="http://schemas.microsoft.com/office/drawing/2014/main" id="{00000000-0008-0000-0000-00006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40" name="Line 1584">
          <a:extLst>
            <a:ext uri="{FF2B5EF4-FFF2-40B4-BE49-F238E27FC236}">
              <a16:creationId xmlns:a16="http://schemas.microsoft.com/office/drawing/2014/main" id="{00000000-0008-0000-0000-00006823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41" name="Line 1585">
          <a:extLst>
            <a:ext uri="{FF2B5EF4-FFF2-40B4-BE49-F238E27FC236}">
              <a16:creationId xmlns:a16="http://schemas.microsoft.com/office/drawing/2014/main" id="{00000000-0008-0000-0000-00006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42" name="Line 1586">
          <a:extLst>
            <a:ext uri="{FF2B5EF4-FFF2-40B4-BE49-F238E27FC236}">
              <a16:creationId xmlns:a16="http://schemas.microsoft.com/office/drawing/2014/main" id="{00000000-0008-0000-0000-00006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43" name="Line 1587">
          <a:extLst>
            <a:ext uri="{FF2B5EF4-FFF2-40B4-BE49-F238E27FC236}">
              <a16:creationId xmlns:a16="http://schemas.microsoft.com/office/drawing/2014/main" id="{00000000-0008-0000-0000-00006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44" name="Line 1588">
          <a:extLst>
            <a:ext uri="{FF2B5EF4-FFF2-40B4-BE49-F238E27FC236}">
              <a16:creationId xmlns:a16="http://schemas.microsoft.com/office/drawing/2014/main" id="{00000000-0008-0000-0000-00006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45" name="Line 1589">
          <a:extLst>
            <a:ext uri="{FF2B5EF4-FFF2-40B4-BE49-F238E27FC236}">
              <a16:creationId xmlns:a16="http://schemas.microsoft.com/office/drawing/2014/main" id="{00000000-0008-0000-0000-00006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46" name="Line 1590">
          <a:extLst>
            <a:ext uri="{FF2B5EF4-FFF2-40B4-BE49-F238E27FC236}">
              <a16:creationId xmlns:a16="http://schemas.microsoft.com/office/drawing/2014/main" id="{00000000-0008-0000-0000-00006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47" name="Line 1591">
          <a:extLst>
            <a:ext uri="{FF2B5EF4-FFF2-40B4-BE49-F238E27FC236}">
              <a16:creationId xmlns:a16="http://schemas.microsoft.com/office/drawing/2014/main" id="{00000000-0008-0000-0000-00006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48" name="Line 1592">
          <a:extLst>
            <a:ext uri="{FF2B5EF4-FFF2-40B4-BE49-F238E27FC236}">
              <a16:creationId xmlns:a16="http://schemas.microsoft.com/office/drawing/2014/main" id="{00000000-0008-0000-0000-00007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49" name="Line 1593">
          <a:extLst>
            <a:ext uri="{FF2B5EF4-FFF2-40B4-BE49-F238E27FC236}">
              <a16:creationId xmlns:a16="http://schemas.microsoft.com/office/drawing/2014/main" id="{00000000-0008-0000-0000-00007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50" name="Line 1594">
          <a:extLst>
            <a:ext uri="{FF2B5EF4-FFF2-40B4-BE49-F238E27FC236}">
              <a16:creationId xmlns:a16="http://schemas.microsoft.com/office/drawing/2014/main" id="{00000000-0008-0000-0000-00007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51" name="Line 1595">
          <a:extLst>
            <a:ext uri="{FF2B5EF4-FFF2-40B4-BE49-F238E27FC236}">
              <a16:creationId xmlns:a16="http://schemas.microsoft.com/office/drawing/2014/main" id="{00000000-0008-0000-0000-00007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52" name="Line 1596">
          <a:extLst>
            <a:ext uri="{FF2B5EF4-FFF2-40B4-BE49-F238E27FC236}">
              <a16:creationId xmlns:a16="http://schemas.microsoft.com/office/drawing/2014/main" id="{00000000-0008-0000-0000-00007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53" name="Line 1597">
          <a:extLst>
            <a:ext uri="{FF2B5EF4-FFF2-40B4-BE49-F238E27FC236}">
              <a16:creationId xmlns:a16="http://schemas.microsoft.com/office/drawing/2014/main" id="{00000000-0008-0000-0000-00007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54" name="Line 1598">
          <a:extLst>
            <a:ext uri="{FF2B5EF4-FFF2-40B4-BE49-F238E27FC236}">
              <a16:creationId xmlns:a16="http://schemas.microsoft.com/office/drawing/2014/main" id="{00000000-0008-0000-0000-00007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55" name="Line 1599">
          <a:extLst>
            <a:ext uri="{FF2B5EF4-FFF2-40B4-BE49-F238E27FC236}">
              <a16:creationId xmlns:a16="http://schemas.microsoft.com/office/drawing/2014/main" id="{00000000-0008-0000-0000-00007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56" name="Line 1600">
          <a:extLst>
            <a:ext uri="{FF2B5EF4-FFF2-40B4-BE49-F238E27FC236}">
              <a16:creationId xmlns:a16="http://schemas.microsoft.com/office/drawing/2014/main" id="{00000000-0008-0000-0000-00007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57" name="Line 1601">
          <a:extLst>
            <a:ext uri="{FF2B5EF4-FFF2-40B4-BE49-F238E27FC236}">
              <a16:creationId xmlns:a16="http://schemas.microsoft.com/office/drawing/2014/main" id="{00000000-0008-0000-0000-00007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58" name="Line 1602">
          <a:extLst>
            <a:ext uri="{FF2B5EF4-FFF2-40B4-BE49-F238E27FC236}">
              <a16:creationId xmlns:a16="http://schemas.microsoft.com/office/drawing/2014/main" id="{00000000-0008-0000-0000-00007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59" name="Line 1603">
          <a:extLst>
            <a:ext uri="{FF2B5EF4-FFF2-40B4-BE49-F238E27FC236}">
              <a16:creationId xmlns:a16="http://schemas.microsoft.com/office/drawing/2014/main" id="{00000000-0008-0000-0000-00007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60" name="Line 1604">
          <a:extLst>
            <a:ext uri="{FF2B5EF4-FFF2-40B4-BE49-F238E27FC236}">
              <a16:creationId xmlns:a16="http://schemas.microsoft.com/office/drawing/2014/main" id="{00000000-0008-0000-0000-00007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61" name="Line 1605">
          <a:extLst>
            <a:ext uri="{FF2B5EF4-FFF2-40B4-BE49-F238E27FC236}">
              <a16:creationId xmlns:a16="http://schemas.microsoft.com/office/drawing/2014/main" id="{00000000-0008-0000-0000-00007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62" name="Line 1606">
          <a:extLst>
            <a:ext uri="{FF2B5EF4-FFF2-40B4-BE49-F238E27FC236}">
              <a16:creationId xmlns:a16="http://schemas.microsoft.com/office/drawing/2014/main" id="{00000000-0008-0000-0000-00007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63" name="Line 1607">
          <a:extLst>
            <a:ext uri="{FF2B5EF4-FFF2-40B4-BE49-F238E27FC236}">
              <a16:creationId xmlns:a16="http://schemas.microsoft.com/office/drawing/2014/main" id="{00000000-0008-0000-0000-00007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64" name="Line 1608">
          <a:extLst>
            <a:ext uri="{FF2B5EF4-FFF2-40B4-BE49-F238E27FC236}">
              <a16:creationId xmlns:a16="http://schemas.microsoft.com/office/drawing/2014/main" id="{00000000-0008-0000-0000-00008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65" name="Line 1609">
          <a:extLst>
            <a:ext uri="{FF2B5EF4-FFF2-40B4-BE49-F238E27FC236}">
              <a16:creationId xmlns:a16="http://schemas.microsoft.com/office/drawing/2014/main" id="{00000000-0008-0000-0000-00008123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66" name="Line 1610">
          <a:extLst>
            <a:ext uri="{FF2B5EF4-FFF2-40B4-BE49-F238E27FC236}">
              <a16:creationId xmlns:a16="http://schemas.microsoft.com/office/drawing/2014/main" id="{00000000-0008-0000-0000-00008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67" name="Line 1611">
          <a:extLst>
            <a:ext uri="{FF2B5EF4-FFF2-40B4-BE49-F238E27FC236}">
              <a16:creationId xmlns:a16="http://schemas.microsoft.com/office/drawing/2014/main" id="{00000000-0008-0000-0000-00008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68" name="Line 1612">
          <a:extLst>
            <a:ext uri="{FF2B5EF4-FFF2-40B4-BE49-F238E27FC236}">
              <a16:creationId xmlns:a16="http://schemas.microsoft.com/office/drawing/2014/main" id="{00000000-0008-0000-0000-00008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69" name="Line 1613">
          <a:extLst>
            <a:ext uri="{FF2B5EF4-FFF2-40B4-BE49-F238E27FC236}">
              <a16:creationId xmlns:a16="http://schemas.microsoft.com/office/drawing/2014/main" id="{00000000-0008-0000-0000-00008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70" name="Line 1614">
          <a:extLst>
            <a:ext uri="{FF2B5EF4-FFF2-40B4-BE49-F238E27FC236}">
              <a16:creationId xmlns:a16="http://schemas.microsoft.com/office/drawing/2014/main" id="{00000000-0008-0000-0000-00008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71" name="Line 1615">
          <a:extLst>
            <a:ext uri="{FF2B5EF4-FFF2-40B4-BE49-F238E27FC236}">
              <a16:creationId xmlns:a16="http://schemas.microsoft.com/office/drawing/2014/main" id="{00000000-0008-0000-0000-00008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72" name="Line 1616">
          <a:extLst>
            <a:ext uri="{FF2B5EF4-FFF2-40B4-BE49-F238E27FC236}">
              <a16:creationId xmlns:a16="http://schemas.microsoft.com/office/drawing/2014/main" id="{00000000-0008-0000-0000-00008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73" name="Line 1617">
          <a:extLst>
            <a:ext uri="{FF2B5EF4-FFF2-40B4-BE49-F238E27FC236}">
              <a16:creationId xmlns:a16="http://schemas.microsoft.com/office/drawing/2014/main" id="{00000000-0008-0000-0000-00008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74" name="Line 1618">
          <a:extLst>
            <a:ext uri="{FF2B5EF4-FFF2-40B4-BE49-F238E27FC236}">
              <a16:creationId xmlns:a16="http://schemas.microsoft.com/office/drawing/2014/main" id="{00000000-0008-0000-0000-00008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75" name="Line 1619">
          <a:extLst>
            <a:ext uri="{FF2B5EF4-FFF2-40B4-BE49-F238E27FC236}">
              <a16:creationId xmlns:a16="http://schemas.microsoft.com/office/drawing/2014/main" id="{00000000-0008-0000-0000-00008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76" name="Line 1620">
          <a:extLst>
            <a:ext uri="{FF2B5EF4-FFF2-40B4-BE49-F238E27FC236}">
              <a16:creationId xmlns:a16="http://schemas.microsoft.com/office/drawing/2014/main" id="{00000000-0008-0000-0000-00008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77" name="Line 1621">
          <a:extLst>
            <a:ext uri="{FF2B5EF4-FFF2-40B4-BE49-F238E27FC236}">
              <a16:creationId xmlns:a16="http://schemas.microsoft.com/office/drawing/2014/main" id="{00000000-0008-0000-0000-00008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78" name="Line 1622">
          <a:extLst>
            <a:ext uri="{FF2B5EF4-FFF2-40B4-BE49-F238E27FC236}">
              <a16:creationId xmlns:a16="http://schemas.microsoft.com/office/drawing/2014/main" id="{00000000-0008-0000-0000-00008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79" name="Line 1623">
          <a:extLst>
            <a:ext uri="{FF2B5EF4-FFF2-40B4-BE49-F238E27FC236}">
              <a16:creationId xmlns:a16="http://schemas.microsoft.com/office/drawing/2014/main" id="{00000000-0008-0000-0000-00008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80" name="Line 1624">
          <a:extLst>
            <a:ext uri="{FF2B5EF4-FFF2-40B4-BE49-F238E27FC236}">
              <a16:creationId xmlns:a16="http://schemas.microsoft.com/office/drawing/2014/main" id="{00000000-0008-0000-0000-00009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81" name="Line 1625">
          <a:extLst>
            <a:ext uri="{FF2B5EF4-FFF2-40B4-BE49-F238E27FC236}">
              <a16:creationId xmlns:a16="http://schemas.microsoft.com/office/drawing/2014/main" id="{00000000-0008-0000-0000-00009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82" name="Line 1626">
          <a:extLst>
            <a:ext uri="{FF2B5EF4-FFF2-40B4-BE49-F238E27FC236}">
              <a16:creationId xmlns:a16="http://schemas.microsoft.com/office/drawing/2014/main" id="{00000000-0008-0000-0000-00009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83" name="Line 1627">
          <a:extLst>
            <a:ext uri="{FF2B5EF4-FFF2-40B4-BE49-F238E27FC236}">
              <a16:creationId xmlns:a16="http://schemas.microsoft.com/office/drawing/2014/main" id="{00000000-0008-0000-0000-00009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84" name="Line 1628">
          <a:extLst>
            <a:ext uri="{FF2B5EF4-FFF2-40B4-BE49-F238E27FC236}">
              <a16:creationId xmlns:a16="http://schemas.microsoft.com/office/drawing/2014/main" id="{00000000-0008-0000-0000-00009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85" name="Line 1629">
          <a:extLst>
            <a:ext uri="{FF2B5EF4-FFF2-40B4-BE49-F238E27FC236}">
              <a16:creationId xmlns:a16="http://schemas.microsoft.com/office/drawing/2014/main" id="{00000000-0008-0000-0000-00009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86" name="Line 1630">
          <a:extLst>
            <a:ext uri="{FF2B5EF4-FFF2-40B4-BE49-F238E27FC236}">
              <a16:creationId xmlns:a16="http://schemas.microsoft.com/office/drawing/2014/main" id="{00000000-0008-0000-0000-00009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87" name="Line 1631">
          <a:extLst>
            <a:ext uri="{FF2B5EF4-FFF2-40B4-BE49-F238E27FC236}">
              <a16:creationId xmlns:a16="http://schemas.microsoft.com/office/drawing/2014/main" id="{00000000-0008-0000-0000-00009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88" name="Line 1632">
          <a:extLst>
            <a:ext uri="{FF2B5EF4-FFF2-40B4-BE49-F238E27FC236}">
              <a16:creationId xmlns:a16="http://schemas.microsoft.com/office/drawing/2014/main" id="{00000000-0008-0000-0000-00009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89" name="Line 1633">
          <a:extLst>
            <a:ext uri="{FF2B5EF4-FFF2-40B4-BE49-F238E27FC236}">
              <a16:creationId xmlns:a16="http://schemas.microsoft.com/office/drawing/2014/main" id="{00000000-0008-0000-0000-00009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90" name="Line 1634">
          <a:extLst>
            <a:ext uri="{FF2B5EF4-FFF2-40B4-BE49-F238E27FC236}">
              <a16:creationId xmlns:a16="http://schemas.microsoft.com/office/drawing/2014/main" id="{00000000-0008-0000-0000-00009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91" name="Line 1635">
          <a:extLst>
            <a:ext uri="{FF2B5EF4-FFF2-40B4-BE49-F238E27FC236}">
              <a16:creationId xmlns:a16="http://schemas.microsoft.com/office/drawing/2014/main" id="{00000000-0008-0000-0000-00009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92" name="Line 1636">
          <a:extLst>
            <a:ext uri="{FF2B5EF4-FFF2-40B4-BE49-F238E27FC236}">
              <a16:creationId xmlns:a16="http://schemas.microsoft.com/office/drawing/2014/main" id="{00000000-0008-0000-0000-00009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93" name="Line 1637">
          <a:extLst>
            <a:ext uri="{FF2B5EF4-FFF2-40B4-BE49-F238E27FC236}">
              <a16:creationId xmlns:a16="http://schemas.microsoft.com/office/drawing/2014/main" id="{00000000-0008-0000-0000-00009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94" name="Line 1638">
          <a:extLst>
            <a:ext uri="{FF2B5EF4-FFF2-40B4-BE49-F238E27FC236}">
              <a16:creationId xmlns:a16="http://schemas.microsoft.com/office/drawing/2014/main" id="{00000000-0008-0000-0000-00009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95" name="Line 1639">
          <a:extLst>
            <a:ext uri="{FF2B5EF4-FFF2-40B4-BE49-F238E27FC236}">
              <a16:creationId xmlns:a16="http://schemas.microsoft.com/office/drawing/2014/main" id="{00000000-0008-0000-0000-00009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96" name="Line 1640">
          <a:extLst>
            <a:ext uri="{FF2B5EF4-FFF2-40B4-BE49-F238E27FC236}">
              <a16:creationId xmlns:a16="http://schemas.microsoft.com/office/drawing/2014/main" id="{00000000-0008-0000-0000-0000A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97" name="Line 1641">
          <a:extLst>
            <a:ext uri="{FF2B5EF4-FFF2-40B4-BE49-F238E27FC236}">
              <a16:creationId xmlns:a16="http://schemas.microsoft.com/office/drawing/2014/main" id="{00000000-0008-0000-0000-0000A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098" name="Line 1642">
          <a:extLst>
            <a:ext uri="{FF2B5EF4-FFF2-40B4-BE49-F238E27FC236}">
              <a16:creationId xmlns:a16="http://schemas.microsoft.com/office/drawing/2014/main" id="{00000000-0008-0000-0000-0000A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099" name="Line 1643">
          <a:extLst>
            <a:ext uri="{FF2B5EF4-FFF2-40B4-BE49-F238E27FC236}">
              <a16:creationId xmlns:a16="http://schemas.microsoft.com/office/drawing/2014/main" id="{00000000-0008-0000-0000-0000A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00" name="Line 1644">
          <a:extLst>
            <a:ext uri="{FF2B5EF4-FFF2-40B4-BE49-F238E27FC236}">
              <a16:creationId xmlns:a16="http://schemas.microsoft.com/office/drawing/2014/main" id="{00000000-0008-0000-0000-0000A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01" name="Line 1645">
          <a:extLst>
            <a:ext uri="{FF2B5EF4-FFF2-40B4-BE49-F238E27FC236}">
              <a16:creationId xmlns:a16="http://schemas.microsoft.com/office/drawing/2014/main" id="{00000000-0008-0000-0000-0000A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02" name="Line 1646">
          <a:extLst>
            <a:ext uri="{FF2B5EF4-FFF2-40B4-BE49-F238E27FC236}">
              <a16:creationId xmlns:a16="http://schemas.microsoft.com/office/drawing/2014/main" id="{00000000-0008-0000-0000-0000A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03" name="Line 1647">
          <a:extLst>
            <a:ext uri="{FF2B5EF4-FFF2-40B4-BE49-F238E27FC236}">
              <a16:creationId xmlns:a16="http://schemas.microsoft.com/office/drawing/2014/main" id="{00000000-0008-0000-0000-0000A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04" name="Line 1648">
          <a:extLst>
            <a:ext uri="{FF2B5EF4-FFF2-40B4-BE49-F238E27FC236}">
              <a16:creationId xmlns:a16="http://schemas.microsoft.com/office/drawing/2014/main" id="{00000000-0008-0000-0000-0000A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05" name="Line 1649">
          <a:extLst>
            <a:ext uri="{FF2B5EF4-FFF2-40B4-BE49-F238E27FC236}">
              <a16:creationId xmlns:a16="http://schemas.microsoft.com/office/drawing/2014/main" id="{00000000-0008-0000-0000-0000A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06" name="Line 1650">
          <a:extLst>
            <a:ext uri="{FF2B5EF4-FFF2-40B4-BE49-F238E27FC236}">
              <a16:creationId xmlns:a16="http://schemas.microsoft.com/office/drawing/2014/main" id="{00000000-0008-0000-0000-0000AA23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07" name="Line 1651">
          <a:extLst>
            <a:ext uri="{FF2B5EF4-FFF2-40B4-BE49-F238E27FC236}">
              <a16:creationId xmlns:a16="http://schemas.microsoft.com/office/drawing/2014/main" id="{00000000-0008-0000-0000-0000A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08" name="Line 1652">
          <a:extLst>
            <a:ext uri="{FF2B5EF4-FFF2-40B4-BE49-F238E27FC236}">
              <a16:creationId xmlns:a16="http://schemas.microsoft.com/office/drawing/2014/main" id="{00000000-0008-0000-0000-0000A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09" name="Line 1653">
          <a:extLst>
            <a:ext uri="{FF2B5EF4-FFF2-40B4-BE49-F238E27FC236}">
              <a16:creationId xmlns:a16="http://schemas.microsoft.com/office/drawing/2014/main" id="{00000000-0008-0000-0000-0000A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10" name="Line 1654">
          <a:extLst>
            <a:ext uri="{FF2B5EF4-FFF2-40B4-BE49-F238E27FC236}">
              <a16:creationId xmlns:a16="http://schemas.microsoft.com/office/drawing/2014/main" id="{00000000-0008-0000-0000-0000A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11" name="Line 1655">
          <a:extLst>
            <a:ext uri="{FF2B5EF4-FFF2-40B4-BE49-F238E27FC236}">
              <a16:creationId xmlns:a16="http://schemas.microsoft.com/office/drawing/2014/main" id="{00000000-0008-0000-0000-0000A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12" name="Line 1656">
          <a:extLst>
            <a:ext uri="{FF2B5EF4-FFF2-40B4-BE49-F238E27FC236}">
              <a16:creationId xmlns:a16="http://schemas.microsoft.com/office/drawing/2014/main" id="{00000000-0008-0000-0000-0000B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13" name="Line 1657">
          <a:extLst>
            <a:ext uri="{FF2B5EF4-FFF2-40B4-BE49-F238E27FC236}">
              <a16:creationId xmlns:a16="http://schemas.microsoft.com/office/drawing/2014/main" id="{00000000-0008-0000-0000-0000B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14" name="Line 1658">
          <a:extLst>
            <a:ext uri="{FF2B5EF4-FFF2-40B4-BE49-F238E27FC236}">
              <a16:creationId xmlns:a16="http://schemas.microsoft.com/office/drawing/2014/main" id="{00000000-0008-0000-0000-0000B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15" name="Line 1659">
          <a:extLst>
            <a:ext uri="{FF2B5EF4-FFF2-40B4-BE49-F238E27FC236}">
              <a16:creationId xmlns:a16="http://schemas.microsoft.com/office/drawing/2014/main" id="{00000000-0008-0000-0000-0000B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16" name="Line 1660">
          <a:extLst>
            <a:ext uri="{FF2B5EF4-FFF2-40B4-BE49-F238E27FC236}">
              <a16:creationId xmlns:a16="http://schemas.microsoft.com/office/drawing/2014/main" id="{00000000-0008-0000-0000-0000B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17" name="Line 1661">
          <a:extLst>
            <a:ext uri="{FF2B5EF4-FFF2-40B4-BE49-F238E27FC236}">
              <a16:creationId xmlns:a16="http://schemas.microsoft.com/office/drawing/2014/main" id="{00000000-0008-0000-0000-0000B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18" name="Line 1662">
          <a:extLst>
            <a:ext uri="{FF2B5EF4-FFF2-40B4-BE49-F238E27FC236}">
              <a16:creationId xmlns:a16="http://schemas.microsoft.com/office/drawing/2014/main" id="{00000000-0008-0000-0000-0000B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19" name="Line 1663">
          <a:extLst>
            <a:ext uri="{FF2B5EF4-FFF2-40B4-BE49-F238E27FC236}">
              <a16:creationId xmlns:a16="http://schemas.microsoft.com/office/drawing/2014/main" id="{00000000-0008-0000-0000-0000B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20" name="Line 1664">
          <a:extLst>
            <a:ext uri="{FF2B5EF4-FFF2-40B4-BE49-F238E27FC236}">
              <a16:creationId xmlns:a16="http://schemas.microsoft.com/office/drawing/2014/main" id="{00000000-0008-0000-0000-0000B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21" name="Line 1665">
          <a:extLst>
            <a:ext uri="{FF2B5EF4-FFF2-40B4-BE49-F238E27FC236}">
              <a16:creationId xmlns:a16="http://schemas.microsoft.com/office/drawing/2014/main" id="{00000000-0008-0000-0000-0000B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22" name="Line 1666">
          <a:extLst>
            <a:ext uri="{FF2B5EF4-FFF2-40B4-BE49-F238E27FC236}">
              <a16:creationId xmlns:a16="http://schemas.microsoft.com/office/drawing/2014/main" id="{00000000-0008-0000-0000-0000B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23" name="Line 1667">
          <a:extLst>
            <a:ext uri="{FF2B5EF4-FFF2-40B4-BE49-F238E27FC236}">
              <a16:creationId xmlns:a16="http://schemas.microsoft.com/office/drawing/2014/main" id="{00000000-0008-0000-0000-0000B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24" name="Line 1668">
          <a:extLst>
            <a:ext uri="{FF2B5EF4-FFF2-40B4-BE49-F238E27FC236}">
              <a16:creationId xmlns:a16="http://schemas.microsoft.com/office/drawing/2014/main" id="{00000000-0008-0000-0000-0000B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25" name="Line 1669">
          <a:extLst>
            <a:ext uri="{FF2B5EF4-FFF2-40B4-BE49-F238E27FC236}">
              <a16:creationId xmlns:a16="http://schemas.microsoft.com/office/drawing/2014/main" id="{00000000-0008-0000-0000-0000B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26" name="Line 1670">
          <a:extLst>
            <a:ext uri="{FF2B5EF4-FFF2-40B4-BE49-F238E27FC236}">
              <a16:creationId xmlns:a16="http://schemas.microsoft.com/office/drawing/2014/main" id="{00000000-0008-0000-0000-0000B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27" name="Line 1671">
          <a:extLst>
            <a:ext uri="{FF2B5EF4-FFF2-40B4-BE49-F238E27FC236}">
              <a16:creationId xmlns:a16="http://schemas.microsoft.com/office/drawing/2014/main" id="{00000000-0008-0000-0000-0000B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28" name="Line 1672">
          <a:extLst>
            <a:ext uri="{FF2B5EF4-FFF2-40B4-BE49-F238E27FC236}">
              <a16:creationId xmlns:a16="http://schemas.microsoft.com/office/drawing/2014/main" id="{00000000-0008-0000-0000-0000C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29" name="Line 1673">
          <a:extLst>
            <a:ext uri="{FF2B5EF4-FFF2-40B4-BE49-F238E27FC236}">
              <a16:creationId xmlns:a16="http://schemas.microsoft.com/office/drawing/2014/main" id="{00000000-0008-0000-0000-0000C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30" name="Line 1674">
          <a:extLst>
            <a:ext uri="{FF2B5EF4-FFF2-40B4-BE49-F238E27FC236}">
              <a16:creationId xmlns:a16="http://schemas.microsoft.com/office/drawing/2014/main" id="{00000000-0008-0000-0000-0000C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31" name="Line 1675">
          <a:extLst>
            <a:ext uri="{FF2B5EF4-FFF2-40B4-BE49-F238E27FC236}">
              <a16:creationId xmlns:a16="http://schemas.microsoft.com/office/drawing/2014/main" id="{00000000-0008-0000-0000-0000C323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32" name="Line 1676">
          <a:extLst>
            <a:ext uri="{FF2B5EF4-FFF2-40B4-BE49-F238E27FC236}">
              <a16:creationId xmlns:a16="http://schemas.microsoft.com/office/drawing/2014/main" id="{00000000-0008-0000-0000-0000C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33" name="Line 1677">
          <a:extLst>
            <a:ext uri="{FF2B5EF4-FFF2-40B4-BE49-F238E27FC236}">
              <a16:creationId xmlns:a16="http://schemas.microsoft.com/office/drawing/2014/main" id="{00000000-0008-0000-0000-0000C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34" name="Line 1678">
          <a:extLst>
            <a:ext uri="{FF2B5EF4-FFF2-40B4-BE49-F238E27FC236}">
              <a16:creationId xmlns:a16="http://schemas.microsoft.com/office/drawing/2014/main" id="{00000000-0008-0000-0000-0000C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35" name="Line 1679">
          <a:extLst>
            <a:ext uri="{FF2B5EF4-FFF2-40B4-BE49-F238E27FC236}">
              <a16:creationId xmlns:a16="http://schemas.microsoft.com/office/drawing/2014/main" id="{00000000-0008-0000-0000-0000C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36" name="Line 1680">
          <a:extLst>
            <a:ext uri="{FF2B5EF4-FFF2-40B4-BE49-F238E27FC236}">
              <a16:creationId xmlns:a16="http://schemas.microsoft.com/office/drawing/2014/main" id="{00000000-0008-0000-0000-0000C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37" name="Line 1681">
          <a:extLst>
            <a:ext uri="{FF2B5EF4-FFF2-40B4-BE49-F238E27FC236}">
              <a16:creationId xmlns:a16="http://schemas.microsoft.com/office/drawing/2014/main" id="{00000000-0008-0000-0000-0000C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38" name="Line 1682">
          <a:extLst>
            <a:ext uri="{FF2B5EF4-FFF2-40B4-BE49-F238E27FC236}">
              <a16:creationId xmlns:a16="http://schemas.microsoft.com/office/drawing/2014/main" id="{00000000-0008-0000-0000-0000C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39" name="Line 1683">
          <a:extLst>
            <a:ext uri="{FF2B5EF4-FFF2-40B4-BE49-F238E27FC236}">
              <a16:creationId xmlns:a16="http://schemas.microsoft.com/office/drawing/2014/main" id="{00000000-0008-0000-0000-0000C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40" name="Line 1684">
          <a:extLst>
            <a:ext uri="{FF2B5EF4-FFF2-40B4-BE49-F238E27FC236}">
              <a16:creationId xmlns:a16="http://schemas.microsoft.com/office/drawing/2014/main" id="{00000000-0008-0000-0000-0000C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41" name="Line 1685">
          <a:extLst>
            <a:ext uri="{FF2B5EF4-FFF2-40B4-BE49-F238E27FC236}">
              <a16:creationId xmlns:a16="http://schemas.microsoft.com/office/drawing/2014/main" id="{00000000-0008-0000-0000-0000C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42" name="Line 1686">
          <a:extLst>
            <a:ext uri="{FF2B5EF4-FFF2-40B4-BE49-F238E27FC236}">
              <a16:creationId xmlns:a16="http://schemas.microsoft.com/office/drawing/2014/main" id="{00000000-0008-0000-0000-0000C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43" name="Line 1687">
          <a:extLst>
            <a:ext uri="{FF2B5EF4-FFF2-40B4-BE49-F238E27FC236}">
              <a16:creationId xmlns:a16="http://schemas.microsoft.com/office/drawing/2014/main" id="{00000000-0008-0000-0000-0000C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44" name="Line 1688">
          <a:extLst>
            <a:ext uri="{FF2B5EF4-FFF2-40B4-BE49-F238E27FC236}">
              <a16:creationId xmlns:a16="http://schemas.microsoft.com/office/drawing/2014/main" id="{00000000-0008-0000-0000-0000D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45" name="Line 1689">
          <a:extLst>
            <a:ext uri="{FF2B5EF4-FFF2-40B4-BE49-F238E27FC236}">
              <a16:creationId xmlns:a16="http://schemas.microsoft.com/office/drawing/2014/main" id="{00000000-0008-0000-0000-0000D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46" name="Line 1690">
          <a:extLst>
            <a:ext uri="{FF2B5EF4-FFF2-40B4-BE49-F238E27FC236}">
              <a16:creationId xmlns:a16="http://schemas.microsoft.com/office/drawing/2014/main" id="{00000000-0008-0000-0000-0000D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47" name="Line 1691">
          <a:extLst>
            <a:ext uri="{FF2B5EF4-FFF2-40B4-BE49-F238E27FC236}">
              <a16:creationId xmlns:a16="http://schemas.microsoft.com/office/drawing/2014/main" id="{00000000-0008-0000-0000-0000D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48" name="Line 1692">
          <a:extLst>
            <a:ext uri="{FF2B5EF4-FFF2-40B4-BE49-F238E27FC236}">
              <a16:creationId xmlns:a16="http://schemas.microsoft.com/office/drawing/2014/main" id="{00000000-0008-0000-0000-0000D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49" name="Line 1693">
          <a:extLst>
            <a:ext uri="{FF2B5EF4-FFF2-40B4-BE49-F238E27FC236}">
              <a16:creationId xmlns:a16="http://schemas.microsoft.com/office/drawing/2014/main" id="{00000000-0008-0000-0000-0000D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50" name="Line 1694">
          <a:extLst>
            <a:ext uri="{FF2B5EF4-FFF2-40B4-BE49-F238E27FC236}">
              <a16:creationId xmlns:a16="http://schemas.microsoft.com/office/drawing/2014/main" id="{00000000-0008-0000-0000-0000D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51" name="Line 1695">
          <a:extLst>
            <a:ext uri="{FF2B5EF4-FFF2-40B4-BE49-F238E27FC236}">
              <a16:creationId xmlns:a16="http://schemas.microsoft.com/office/drawing/2014/main" id="{00000000-0008-0000-0000-0000D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52" name="Line 1696">
          <a:extLst>
            <a:ext uri="{FF2B5EF4-FFF2-40B4-BE49-F238E27FC236}">
              <a16:creationId xmlns:a16="http://schemas.microsoft.com/office/drawing/2014/main" id="{00000000-0008-0000-0000-0000D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53" name="Line 1697">
          <a:extLst>
            <a:ext uri="{FF2B5EF4-FFF2-40B4-BE49-F238E27FC236}">
              <a16:creationId xmlns:a16="http://schemas.microsoft.com/office/drawing/2014/main" id="{00000000-0008-0000-0000-0000D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54" name="Line 1698">
          <a:extLst>
            <a:ext uri="{FF2B5EF4-FFF2-40B4-BE49-F238E27FC236}">
              <a16:creationId xmlns:a16="http://schemas.microsoft.com/office/drawing/2014/main" id="{00000000-0008-0000-0000-0000D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55" name="Line 1699">
          <a:extLst>
            <a:ext uri="{FF2B5EF4-FFF2-40B4-BE49-F238E27FC236}">
              <a16:creationId xmlns:a16="http://schemas.microsoft.com/office/drawing/2014/main" id="{00000000-0008-0000-0000-0000D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56" name="Line 1700">
          <a:extLst>
            <a:ext uri="{FF2B5EF4-FFF2-40B4-BE49-F238E27FC236}">
              <a16:creationId xmlns:a16="http://schemas.microsoft.com/office/drawing/2014/main" id="{00000000-0008-0000-0000-0000D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57" name="Line 1701">
          <a:extLst>
            <a:ext uri="{FF2B5EF4-FFF2-40B4-BE49-F238E27FC236}">
              <a16:creationId xmlns:a16="http://schemas.microsoft.com/office/drawing/2014/main" id="{00000000-0008-0000-0000-0000D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58" name="Line 1702">
          <a:extLst>
            <a:ext uri="{FF2B5EF4-FFF2-40B4-BE49-F238E27FC236}">
              <a16:creationId xmlns:a16="http://schemas.microsoft.com/office/drawing/2014/main" id="{00000000-0008-0000-0000-0000D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59" name="Line 1703">
          <a:extLst>
            <a:ext uri="{FF2B5EF4-FFF2-40B4-BE49-F238E27FC236}">
              <a16:creationId xmlns:a16="http://schemas.microsoft.com/office/drawing/2014/main" id="{00000000-0008-0000-0000-0000D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60" name="Line 1704">
          <a:extLst>
            <a:ext uri="{FF2B5EF4-FFF2-40B4-BE49-F238E27FC236}">
              <a16:creationId xmlns:a16="http://schemas.microsoft.com/office/drawing/2014/main" id="{00000000-0008-0000-0000-0000E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61" name="Line 1705">
          <a:extLst>
            <a:ext uri="{FF2B5EF4-FFF2-40B4-BE49-F238E27FC236}">
              <a16:creationId xmlns:a16="http://schemas.microsoft.com/office/drawing/2014/main" id="{00000000-0008-0000-0000-0000E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62" name="Line 1706">
          <a:extLst>
            <a:ext uri="{FF2B5EF4-FFF2-40B4-BE49-F238E27FC236}">
              <a16:creationId xmlns:a16="http://schemas.microsoft.com/office/drawing/2014/main" id="{00000000-0008-0000-0000-0000E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63" name="Line 1707">
          <a:extLst>
            <a:ext uri="{FF2B5EF4-FFF2-40B4-BE49-F238E27FC236}">
              <a16:creationId xmlns:a16="http://schemas.microsoft.com/office/drawing/2014/main" id="{00000000-0008-0000-0000-0000E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64" name="Line 1708">
          <a:extLst>
            <a:ext uri="{FF2B5EF4-FFF2-40B4-BE49-F238E27FC236}">
              <a16:creationId xmlns:a16="http://schemas.microsoft.com/office/drawing/2014/main" id="{00000000-0008-0000-0000-0000E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65" name="Line 1709">
          <a:extLst>
            <a:ext uri="{FF2B5EF4-FFF2-40B4-BE49-F238E27FC236}">
              <a16:creationId xmlns:a16="http://schemas.microsoft.com/office/drawing/2014/main" id="{00000000-0008-0000-0000-0000E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66" name="Line 1710">
          <a:extLst>
            <a:ext uri="{FF2B5EF4-FFF2-40B4-BE49-F238E27FC236}">
              <a16:creationId xmlns:a16="http://schemas.microsoft.com/office/drawing/2014/main" id="{00000000-0008-0000-0000-0000E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67" name="Line 1711">
          <a:extLst>
            <a:ext uri="{FF2B5EF4-FFF2-40B4-BE49-F238E27FC236}">
              <a16:creationId xmlns:a16="http://schemas.microsoft.com/office/drawing/2014/main" id="{00000000-0008-0000-0000-0000E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68" name="Line 1712">
          <a:extLst>
            <a:ext uri="{FF2B5EF4-FFF2-40B4-BE49-F238E27FC236}">
              <a16:creationId xmlns:a16="http://schemas.microsoft.com/office/drawing/2014/main" id="{00000000-0008-0000-0000-0000E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69" name="Line 1713">
          <a:extLst>
            <a:ext uri="{FF2B5EF4-FFF2-40B4-BE49-F238E27FC236}">
              <a16:creationId xmlns:a16="http://schemas.microsoft.com/office/drawing/2014/main" id="{00000000-0008-0000-0000-0000E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70" name="Line 1714">
          <a:extLst>
            <a:ext uri="{FF2B5EF4-FFF2-40B4-BE49-F238E27FC236}">
              <a16:creationId xmlns:a16="http://schemas.microsoft.com/office/drawing/2014/main" id="{00000000-0008-0000-0000-0000E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71" name="Line 1715">
          <a:extLst>
            <a:ext uri="{FF2B5EF4-FFF2-40B4-BE49-F238E27FC236}">
              <a16:creationId xmlns:a16="http://schemas.microsoft.com/office/drawing/2014/main" id="{00000000-0008-0000-0000-0000E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72" name="Line 1716">
          <a:extLst>
            <a:ext uri="{FF2B5EF4-FFF2-40B4-BE49-F238E27FC236}">
              <a16:creationId xmlns:a16="http://schemas.microsoft.com/office/drawing/2014/main" id="{00000000-0008-0000-0000-0000EC23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73" name="Line 1717">
          <a:extLst>
            <a:ext uri="{FF2B5EF4-FFF2-40B4-BE49-F238E27FC236}">
              <a16:creationId xmlns:a16="http://schemas.microsoft.com/office/drawing/2014/main" id="{00000000-0008-0000-0000-0000E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74" name="Line 1718">
          <a:extLst>
            <a:ext uri="{FF2B5EF4-FFF2-40B4-BE49-F238E27FC236}">
              <a16:creationId xmlns:a16="http://schemas.microsoft.com/office/drawing/2014/main" id="{00000000-0008-0000-0000-0000E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75" name="Line 1719">
          <a:extLst>
            <a:ext uri="{FF2B5EF4-FFF2-40B4-BE49-F238E27FC236}">
              <a16:creationId xmlns:a16="http://schemas.microsoft.com/office/drawing/2014/main" id="{00000000-0008-0000-0000-0000E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76" name="Line 1720">
          <a:extLst>
            <a:ext uri="{FF2B5EF4-FFF2-40B4-BE49-F238E27FC236}">
              <a16:creationId xmlns:a16="http://schemas.microsoft.com/office/drawing/2014/main" id="{00000000-0008-0000-0000-0000F0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77" name="Line 1721">
          <a:extLst>
            <a:ext uri="{FF2B5EF4-FFF2-40B4-BE49-F238E27FC236}">
              <a16:creationId xmlns:a16="http://schemas.microsoft.com/office/drawing/2014/main" id="{00000000-0008-0000-0000-0000F1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78" name="Line 1722">
          <a:extLst>
            <a:ext uri="{FF2B5EF4-FFF2-40B4-BE49-F238E27FC236}">
              <a16:creationId xmlns:a16="http://schemas.microsoft.com/office/drawing/2014/main" id="{00000000-0008-0000-0000-0000F2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79" name="Line 1723">
          <a:extLst>
            <a:ext uri="{FF2B5EF4-FFF2-40B4-BE49-F238E27FC236}">
              <a16:creationId xmlns:a16="http://schemas.microsoft.com/office/drawing/2014/main" id="{00000000-0008-0000-0000-0000F3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80" name="Line 1724">
          <a:extLst>
            <a:ext uri="{FF2B5EF4-FFF2-40B4-BE49-F238E27FC236}">
              <a16:creationId xmlns:a16="http://schemas.microsoft.com/office/drawing/2014/main" id="{00000000-0008-0000-0000-0000F4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81" name="Line 1725">
          <a:extLst>
            <a:ext uri="{FF2B5EF4-FFF2-40B4-BE49-F238E27FC236}">
              <a16:creationId xmlns:a16="http://schemas.microsoft.com/office/drawing/2014/main" id="{00000000-0008-0000-0000-0000F5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82" name="Line 1726">
          <a:extLst>
            <a:ext uri="{FF2B5EF4-FFF2-40B4-BE49-F238E27FC236}">
              <a16:creationId xmlns:a16="http://schemas.microsoft.com/office/drawing/2014/main" id="{00000000-0008-0000-0000-0000F6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83" name="Line 1727">
          <a:extLst>
            <a:ext uri="{FF2B5EF4-FFF2-40B4-BE49-F238E27FC236}">
              <a16:creationId xmlns:a16="http://schemas.microsoft.com/office/drawing/2014/main" id="{00000000-0008-0000-0000-0000F7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84" name="Line 1728">
          <a:extLst>
            <a:ext uri="{FF2B5EF4-FFF2-40B4-BE49-F238E27FC236}">
              <a16:creationId xmlns:a16="http://schemas.microsoft.com/office/drawing/2014/main" id="{00000000-0008-0000-0000-0000F8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85" name="Line 1729">
          <a:extLst>
            <a:ext uri="{FF2B5EF4-FFF2-40B4-BE49-F238E27FC236}">
              <a16:creationId xmlns:a16="http://schemas.microsoft.com/office/drawing/2014/main" id="{00000000-0008-0000-0000-0000F9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86" name="Line 1730">
          <a:extLst>
            <a:ext uri="{FF2B5EF4-FFF2-40B4-BE49-F238E27FC236}">
              <a16:creationId xmlns:a16="http://schemas.microsoft.com/office/drawing/2014/main" id="{00000000-0008-0000-0000-0000FA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87" name="Line 1731">
          <a:extLst>
            <a:ext uri="{FF2B5EF4-FFF2-40B4-BE49-F238E27FC236}">
              <a16:creationId xmlns:a16="http://schemas.microsoft.com/office/drawing/2014/main" id="{00000000-0008-0000-0000-0000FB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88" name="Line 1732">
          <a:extLst>
            <a:ext uri="{FF2B5EF4-FFF2-40B4-BE49-F238E27FC236}">
              <a16:creationId xmlns:a16="http://schemas.microsoft.com/office/drawing/2014/main" id="{00000000-0008-0000-0000-0000FC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89" name="Line 1733">
          <a:extLst>
            <a:ext uri="{FF2B5EF4-FFF2-40B4-BE49-F238E27FC236}">
              <a16:creationId xmlns:a16="http://schemas.microsoft.com/office/drawing/2014/main" id="{00000000-0008-0000-0000-0000FD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90" name="Line 1734">
          <a:extLst>
            <a:ext uri="{FF2B5EF4-FFF2-40B4-BE49-F238E27FC236}">
              <a16:creationId xmlns:a16="http://schemas.microsoft.com/office/drawing/2014/main" id="{00000000-0008-0000-0000-0000FE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91" name="Line 1735">
          <a:extLst>
            <a:ext uri="{FF2B5EF4-FFF2-40B4-BE49-F238E27FC236}">
              <a16:creationId xmlns:a16="http://schemas.microsoft.com/office/drawing/2014/main" id="{00000000-0008-0000-0000-0000FF23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92" name="Line 1736">
          <a:extLst>
            <a:ext uri="{FF2B5EF4-FFF2-40B4-BE49-F238E27FC236}">
              <a16:creationId xmlns:a16="http://schemas.microsoft.com/office/drawing/2014/main" id="{00000000-0008-0000-0000-00000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93" name="Line 1737">
          <a:extLst>
            <a:ext uri="{FF2B5EF4-FFF2-40B4-BE49-F238E27FC236}">
              <a16:creationId xmlns:a16="http://schemas.microsoft.com/office/drawing/2014/main" id="{00000000-0008-0000-0000-00000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94" name="Line 1738">
          <a:extLst>
            <a:ext uri="{FF2B5EF4-FFF2-40B4-BE49-F238E27FC236}">
              <a16:creationId xmlns:a16="http://schemas.microsoft.com/office/drawing/2014/main" id="{00000000-0008-0000-0000-00000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95" name="Line 1739">
          <a:extLst>
            <a:ext uri="{FF2B5EF4-FFF2-40B4-BE49-F238E27FC236}">
              <a16:creationId xmlns:a16="http://schemas.microsoft.com/office/drawing/2014/main" id="{00000000-0008-0000-0000-00000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96" name="Line 1740">
          <a:extLst>
            <a:ext uri="{FF2B5EF4-FFF2-40B4-BE49-F238E27FC236}">
              <a16:creationId xmlns:a16="http://schemas.microsoft.com/office/drawing/2014/main" id="{00000000-0008-0000-0000-00000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97" name="Line 1741">
          <a:extLst>
            <a:ext uri="{FF2B5EF4-FFF2-40B4-BE49-F238E27FC236}">
              <a16:creationId xmlns:a16="http://schemas.microsoft.com/office/drawing/2014/main" id="{00000000-0008-0000-0000-00000524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198" name="Line 1742">
          <a:extLst>
            <a:ext uri="{FF2B5EF4-FFF2-40B4-BE49-F238E27FC236}">
              <a16:creationId xmlns:a16="http://schemas.microsoft.com/office/drawing/2014/main" id="{00000000-0008-0000-0000-00000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199" name="Line 1743">
          <a:extLst>
            <a:ext uri="{FF2B5EF4-FFF2-40B4-BE49-F238E27FC236}">
              <a16:creationId xmlns:a16="http://schemas.microsoft.com/office/drawing/2014/main" id="{00000000-0008-0000-0000-00000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00" name="Line 1744">
          <a:extLst>
            <a:ext uri="{FF2B5EF4-FFF2-40B4-BE49-F238E27FC236}">
              <a16:creationId xmlns:a16="http://schemas.microsoft.com/office/drawing/2014/main" id="{00000000-0008-0000-0000-00000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01" name="Line 1745">
          <a:extLst>
            <a:ext uri="{FF2B5EF4-FFF2-40B4-BE49-F238E27FC236}">
              <a16:creationId xmlns:a16="http://schemas.microsoft.com/office/drawing/2014/main" id="{00000000-0008-0000-0000-00000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02" name="Line 1746">
          <a:extLst>
            <a:ext uri="{FF2B5EF4-FFF2-40B4-BE49-F238E27FC236}">
              <a16:creationId xmlns:a16="http://schemas.microsoft.com/office/drawing/2014/main" id="{00000000-0008-0000-0000-00000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03" name="Line 1747">
          <a:extLst>
            <a:ext uri="{FF2B5EF4-FFF2-40B4-BE49-F238E27FC236}">
              <a16:creationId xmlns:a16="http://schemas.microsoft.com/office/drawing/2014/main" id="{00000000-0008-0000-0000-00000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04" name="Line 1748">
          <a:extLst>
            <a:ext uri="{FF2B5EF4-FFF2-40B4-BE49-F238E27FC236}">
              <a16:creationId xmlns:a16="http://schemas.microsoft.com/office/drawing/2014/main" id="{00000000-0008-0000-0000-00000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05" name="Line 1749">
          <a:extLst>
            <a:ext uri="{FF2B5EF4-FFF2-40B4-BE49-F238E27FC236}">
              <a16:creationId xmlns:a16="http://schemas.microsoft.com/office/drawing/2014/main" id="{00000000-0008-0000-0000-00000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06" name="Line 1750">
          <a:extLst>
            <a:ext uri="{FF2B5EF4-FFF2-40B4-BE49-F238E27FC236}">
              <a16:creationId xmlns:a16="http://schemas.microsoft.com/office/drawing/2014/main" id="{00000000-0008-0000-0000-00000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07" name="Line 1751">
          <a:extLst>
            <a:ext uri="{FF2B5EF4-FFF2-40B4-BE49-F238E27FC236}">
              <a16:creationId xmlns:a16="http://schemas.microsoft.com/office/drawing/2014/main" id="{00000000-0008-0000-0000-00000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08" name="Line 1752">
          <a:extLst>
            <a:ext uri="{FF2B5EF4-FFF2-40B4-BE49-F238E27FC236}">
              <a16:creationId xmlns:a16="http://schemas.microsoft.com/office/drawing/2014/main" id="{00000000-0008-0000-0000-00001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09" name="Line 1753">
          <a:extLst>
            <a:ext uri="{FF2B5EF4-FFF2-40B4-BE49-F238E27FC236}">
              <a16:creationId xmlns:a16="http://schemas.microsoft.com/office/drawing/2014/main" id="{00000000-0008-0000-0000-00001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10" name="Line 1754">
          <a:extLst>
            <a:ext uri="{FF2B5EF4-FFF2-40B4-BE49-F238E27FC236}">
              <a16:creationId xmlns:a16="http://schemas.microsoft.com/office/drawing/2014/main" id="{00000000-0008-0000-0000-00001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11" name="Line 1755">
          <a:extLst>
            <a:ext uri="{FF2B5EF4-FFF2-40B4-BE49-F238E27FC236}">
              <a16:creationId xmlns:a16="http://schemas.microsoft.com/office/drawing/2014/main" id="{00000000-0008-0000-0000-00001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12" name="Line 1756">
          <a:extLst>
            <a:ext uri="{FF2B5EF4-FFF2-40B4-BE49-F238E27FC236}">
              <a16:creationId xmlns:a16="http://schemas.microsoft.com/office/drawing/2014/main" id="{00000000-0008-0000-0000-00001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13" name="Line 1757">
          <a:extLst>
            <a:ext uri="{FF2B5EF4-FFF2-40B4-BE49-F238E27FC236}">
              <a16:creationId xmlns:a16="http://schemas.microsoft.com/office/drawing/2014/main" id="{00000000-0008-0000-0000-00001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14" name="Line 1758">
          <a:extLst>
            <a:ext uri="{FF2B5EF4-FFF2-40B4-BE49-F238E27FC236}">
              <a16:creationId xmlns:a16="http://schemas.microsoft.com/office/drawing/2014/main" id="{00000000-0008-0000-0000-00001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15" name="Line 1759">
          <a:extLst>
            <a:ext uri="{FF2B5EF4-FFF2-40B4-BE49-F238E27FC236}">
              <a16:creationId xmlns:a16="http://schemas.microsoft.com/office/drawing/2014/main" id="{00000000-0008-0000-0000-00001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16" name="Line 1760">
          <a:extLst>
            <a:ext uri="{FF2B5EF4-FFF2-40B4-BE49-F238E27FC236}">
              <a16:creationId xmlns:a16="http://schemas.microsoft.com/office/drawing/2014/main" id="{00000000-0008-0000-0000-00001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17" name="Line 1761">
          <a:extLst>
            <a:ext uri="{FF2B5EF4-FFF2-40B4-BE49-F238E27FC236}">
              <a16:creationId xmlns:a16="http://schemas.microsoft.com/office/drawing/2014/main" id="{00000000-0008-0000-0000-00001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18" name="Line 1762">
          <a:extLst>
            <a:ext uri="{FF2B5EF4-FFF2-40B4-BE49-F238E27FC236}">
              <a16:creationId xmlns:a16="http://schemas.microsoft.com/office/drawing/2014/main" id="{00000000-0008-0000-0000-00001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19" name="Line 1763">
          <a:extLst>
            <a:ext uri="{FF2B5EF4-FFF2-40B4-BE49-F238E27FC236}">
              <a16:creationId xmlns:a16="http://schemas.microsoft.com/office/drawing/2014/main" id="{00000000-0008-0000-0000-00001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20" name="Line 1764">
          <a:extLst>
            <a:ext uri="{FF2B5EF4-FFF2-40B4-BE49-F238E27FC236}">
              <a16:creationId xmlns:a16="http://schemas.microsoft.com/office/drawing/2014/main" id="{00000000-0008-0000-0000-00001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21" name="Line 1765">
          <a:extLst>
            <a:ext uri="{FF2B5EF4-FFF2-40B4-BE49-F238E27FC236}">
              <a16:creationId xmlns:a16="http://schemas.microsoft.com/office/drawing/2014/main" id="{00000000-0008-0000-0000-00001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22" name="Line 1766">
          <a:extLst>
            <a:ext uri="{FF2B5EF4-FFF2-40B4-BE49-F238E27FC236}">
              <a16:creationId xmlns:a16="http://schemas.microsoft.com/office/drawing/2014/main" id="{00000000-0008-0000-0000-00001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23" name="Line 1767">
          <a:extLst>
            <a:ext uri="{FF2B5EF4-FFF2-40B4-BE49-F238E27FC236}">
              <a16:creationId xmlns:a16="http://schemas.microsoft.com/office/drawing/2014/main" id="{00000000-0008-0000-0000-00001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24" name="Line 1768">
          <a:extLst>
            <a:ext uri="{FF2B5EF4-FFF2-40B4-BE49-F238E27FC236}">
              <a16:creationId xmlns:a16="http://schemas.microsoft.com/office/drawing/2014/main" id="{00000000-0008-0000-0000-00002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25" name="Line 1769">
          <a:extLst>
            <a:ext uri="{FF2B5EF4-FFF2-40B4-BE49-F238E27FC236}">
              <a16:creationId xmlns:a16="http://schemas.microsoft.com/office/drawing/2014/main" id="{00000000-0008-0000-0000-00002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26" name="Line 1770">
          <a:extLst>
            <a:ext uri="{FF2B5EF4-FFF2-40B4-BE49-F238E27FC236}">
              <a16:creationId xmlns:a16="http://schemas.microsoft.com/office/drawing/2014/main" id="{00000000-0008-0000-0000-00002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27" name="Line 1771">
          <a:extLst>
            <a:ext uri="{FF2B5EF4-FFF2-40B4-BE49-F238E27FC236}">
              <a16:creationId xmlns:a16="http://schemas.microsoft.com/office/drawing/2014/main" id="{00000000-0008-0000-0000-00002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28" name="Line 1772">
          <a:extLst>
            <a:ext uri="{FF2B5EF4-FFF2-40B4-BE49-F238E27FC236}">
              <a16:creationId xmlns:a16="http://schemas.microsoft.com/office/drawing/2014/main" id="{00000000-0008-0000-0000-00002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29" name="Line 1773">
          <a:extLst>
            <a:ext uri="{FF2B5EF4-FFF2-40B4-BE49-F238E27FC236}">
              <a16:creationId xmlns:a16="http://schemas.microsoft.com/office/drawing/2014/main" id="{00000000-0008-0000-0000-00002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30" name="Line 1774">
          <a:extLst>
            <a:ext uri="{FF2B5EF4-FFF2-40B4-BE49-F238E27FC236}">
              <a16:creationId xmlns:a16="http://schemas.microsoft.com/office/drawing/2014/main" id="{00000000-0008-0000-0000-00002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31" name="Line 1775">
          <a:extLst>
            <a:ext uri="{FF2B5EF4-FFF2-40B4-BE49-F238E27FC236}">
              <a16:creationId xmlns:a16="http://schemas.microsoft.com/office/drawing/2014/main" id="{00000000-0008-0000-0000-00002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32" name="Line 1776">
          <a:extLst>
            <a:ext uri="{FF2B5EF4-FFF2-40B4-BE49-F238E27FC236}">
              <a16:creationId xmlns:a16="http://schemas.microsoft.com/office/drawing/2014/main" id="{00000000-0008-0000-0000-00002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33" name="Line 1777">
          <a:extLst>
            <a:ext uri="{FF2B5EF4-FFF2-40B4-BE49-F238E27FC236}">
              <a16:creationId xmlns:a16="http://schemas.microsoft.com/office/drawing/2014/main" id="{00000000-0008-0000-0000-00002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34" name="Line 1778">
          <a:extLst>
            <a:ext uri="{FF2B5EF4-FFF2-40B4-BE49-F238E27FC236}">
              <a16:creationId xmlns:a16="http://schemas.microsoft.com/office/drawing/2014/main" id="{00000000-0008-0000-0000-00002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35" name="Line 1779">
          <a:extLst>
            <a:ext uri="{FF2B5EF4-FFF2-40B4-BE49-F238E27FC236}">
              <a16:creationId xmlns:a16="http://schemas.microsoft.com/office/drawing/2014/main" id="{00000000-0008-0000-0000-00002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36" name="Line 1780">
          <a:extLst>
            <a:ext uri="{FF2B5EF4-FFF2-40B4-BE49-F238E27FC236}">
              <a16:creationId xmlns:a16="http://schemas.microsoft.com/office/drawing/2014/main" id="{00000000-0008-0000-0000-00002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37" name="Line 1781">
          <a:extLst>
            <a:ext uri="{FF2B5EF4-FFF2-40B4-BE49-F238E27FC236}">
              <a16:creationId xmlns:a16="http://schemas.microsoft.com/office/drawing/2014/main" id="{00000000-0008-0000-0000-00002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38" name="Line 1782">
          <a:extLst>
            <a:ext uri="{FF2B5EF4-FFF2-40B4-BE49-F238E27FC236}">
              <a16:creationId xmlns:a16="http://schemas.microsoft.com/office/drawing/2014/main" id="{00000000-0008-0000-0000-00002E24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39" name="Line 1783">
          <a:extLst>
            <a:ext uri="{FF2B5EF4-FFF2-40B4-BE49-F238E27FC236}">
              <a16:creationId xmlns:a16="http://schemas.microsoft.com/office/drawing/2014/main" id="{00000000-0008-0000-0000-00002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40" name="Line 1784">
          <a:extLst>
            <a:ext uri="{FF2B5EF4-FFF2-40B4-BE49-F238E27FC236}">
              <a16:creationId xmlns:a16="http://schemas.microsoft.com/office/drawing/2014/main" id="{00000000-0008-0000-0000-00003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41" name="Line 1785">
          <a:extLst>
            <a:ext uri="{FF2B5EF4-FFF2-40B4-BE49-F238E27FC236}">
              <a16:creationId xmlns:a16="http://schemas.microsoft.com/office/drawing/2014/main" id="{00000000-0008-0000-0000-00003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42" name="Line 1786">
          <a:extLst>
            <a:ext uri="{FF2B5EF4-FFF2-40B4-BE49-F238E27FC236}">
              <a16:creationId xmlns:a16="http://schemas.microsoft.com/office/drawing/2014/main" id="{00000000-0008-0000-0000-00003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43" name="Line 1787">
          <a:extLst>
            <a:ext uri="{FF2B5EF4-FFF2-40B4-BE49-F238E27FC236}">
              <a16:creationId xmlns:a16="http://schemas.microsoft.com/office/drawing/2014/main" id="{00000000-0008-0000-0000-00003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44" name="Line 1788">
          <a:extLst>
            <a:ext uri="{FF2B5EF4-FFF2-40B4-BE49-F238E27FC236}">
              <a16:creationId xmlns:a16="http://schemas.microsoft.com/office/drawing/2014/main" id="{00000000-0008-0000-0000-00003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45" name="Line 1789">
          <a:extLst>
            <a:ext uri="{FF2B5EF4-FFF2-40B4-BE49-F238E27FC236}">
              <a16:creationId xmlns:a16="http://schemas.microsoft.com/office/drawing/2014/main" id="{00000000-0008-0000-0000-00003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46" name="Line 1790">
          <a:extLst>
            <a:ext uri="{FF2B5EF4-FFF2-40B4-BE49-F238E27FC236}">
              <a16:creationId xmlns:a16="http://schemas.microsoft.com/office/drawing/2014/main" id="{00000000-0008-0000-0000-00003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47" name="Line 1791">
          <a:extLst>
            <a:ext uri="{FF2B5EF4-FFF2-40B4-BE49-F238E27FC236}">
              <a16:creationId xmlns:a16="http://schemas.microsoft.com/office/drawing/2014/main" id="{00000000-0008-0000-0000-00003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48" name="Line 1792">
          <a:extLst>
            <a:ext uri="{FF2B5EF4-FFF2-40B4-BE49-F238E27FC236}">
              <a16:creationId xmlns:a16="http://schemas.microsoft.com/office/drawing/2014/main" id="{00000000-0008-0000-0000-00003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49" name="Line 1793">
          <a:extLst>
            <a:ext uri="{FF2B5EF4-FFF2-40B4-BE49-F238E27FC236}">
              <a16:creationId xmlns:a16="http://schemas.microsoft.com/office/drawing/2014/main" id="{00000000-0008-0000-0000-00003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50" name="Line 1794">
          <a:extLst>
            <a:ext uri="{FF2B5EF4-FFF2-40B4-BE49-F238E27FC236}">
              <a16:creationId xmlns:a16="http://schemas.microsoft.com/office/drawing/2014/main" id="{00000000-0008-0000-0000-00003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51" name="Line 1795">
          <a:extLst>
            <a:ext uri="{FF2B5EF4-FFF2-40B4-BE49-F238E27FC236}">
              <a16:creationId xmlns:a16="http://schemas.microsoft.com/office/drawing/2014/main" id="{00000000-0008-0000-0000-00003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52" name="Line 1796">
          <a:extLst>
            <a:ext uri="{FF2B5EF4-FFF2-40B4-BE49-F238E27FC236}">
              <a16:creationId xmlns:a16="http://schemas.microsoft.com/office/drawing/2014/main" id="{00000000-0008-0000-0000-00003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53" name="Line 1797">
          <a:extLst>
            <a:ext uri="{FF2B5EF4-FFF2-40B4-BE49-F238E27FC236}">
              <a16:creationId xmlns:a16="http://schemas.microsoft.com/office/drawing/2014/main" id="{00000000-0008-0000-0000-00003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54" name="Line 1798">
          <a:extLst>
            <a:ext uri="{FF2B5EF4-FFF2-40B4-BE49-F238E27FC236}">
              <a16:creationId xmlns:a16="http://schemas.microsoft.com/office/drawing/2014/main" id="{00000000-0008-0000-0000-00003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55" name="Line 1799">
          <a:extLst>
            <a:ext uri="{FF2B5EF4-FFF2-40B4-BE49-F238E27FC236}">
              <a16:creationId xmlns:a16="http://schemas.microsoft.com/office/drawing/2014/main" id="{00000000-0008-0000-0000-00003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56" name="Line 1800">
          <a:extLst>
            <a:ext uri="{FF2B5EF4-FFF2-40B4-BE49-F238E27FC236}">
              <a16:creationId xmlns:a16="http://schemas.microsoft.com/office/drawing/2014/main" id="{00000000-0008-0000-0000-00004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57" name="Line 1801">
          <a:extLst>
            <a:ext uri="{FF2B5EF4-FFF2-40B4-BE49-F238E27FC236}">
              <a16:creationId xmlns:a16="http://schemas.microsoft.com/office/drawing/2014/main" id="{00000000-0008-0000-0000-00004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58" name="Line 1802">
          <a:extLst>
            <a:ext uri="{FF2B5EF4-FFF2-40B4-BE49-F238E27FC236}">
              <a16:creationId xmlns:a16="http://schemas.microsoft.com/office/drawing/2014/main" id="{00000000-0008-0000-0000-00004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59" name="Line 1803">
          <a:extLst>
            <a:ext uri="{FF2B5EF4-FFF2-40B4-BE49-F238E27FC236}">
              <a16:creationId xmlns:a16="http://schemas.microsoft.com/office/drawing/2014/main" id="{00000000-0008-0000-0000-00004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60" name="Line 1804">
          <a:extLst>
            <a:ext uri="{FF2B5EF4-FFF2-40B4-BE49-F238E27FC236}">
              <a16:creationId xmlns:a16="http://schemas.microsoft.com/office/drawing/2014/main" id="{00000000-0008-0000-0000-00004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61" name="Line 1805">
          <a:extLst>
            <a:ext uri="{FF2B5EF4-FFF2-40B4-BE49-F238E27FC236}">
              <a16:creationId xmlns:a16="http://schemas.microsoft.com/office/drawing/2014/main" id="{00000000-0008-0000-0000-00004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62" name="Line 1806">
          <a:extLst>
            <a:ext uri="{FF2B5EF4-FFF2-40B4-BE49-F238E27FC236}">
              <a16:creationId xmlns:a16="http://schemas.microsoft.com/office/drawing/2014/main" id="{00000000-0008-0000-0000-00004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63" name="Line 1807">
          <a:extLst>
            <a:ext uri="{FF2B5EF4-FFF2-40B4-BE49-F238E27FC236}">
              <a16:creationId xmlns:a16="http://schemas.microsoft.com/office/drawing/2014/main" id="{00000000-0008-0000-0000-00004724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64" name="Line 1808">
          <a:extLst>
            <a:ext uri="{FF2B5EF4-FFF2-40B4-BE49-F238E27FC236}">
              <a16:creationId xmlns:a16="http://schemas.microsoft.com/office/drawing/2014/main" id="{00000000-0008-0000-0000-00004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65" name="Line 1809">
          <a:extLst>
            <a:ext uri="{FF2B5EF4-FFF2-40B4-BE49-F238E27FC236}">
              <a16:creationId xmlns:a16="http://schemas.microsoft.com/office/drawing/2014/main" id="{00000000-0008-0000-0000-00004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66" name="Line 1810">
          <a:extLst>
            <a:ext uri="{FF2B5EF4-FFF2-40B4-BE49-F238E27FC236}">
              <a16:creationId xmlns:a16="http://schemas.microsoft.com/office/drawing/2014/main" id="{00000000-0008-0000-0000-00004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67" name="Line 1811">
          <a:extLst>
            <a:ext uri="{FF2B5EF4-FFF2-40B4-BE49-F238E27FC236}">
              <a16:creationId xmlns:a16="http://schemas.microsoft.com/office/drawing/2014/main" id="{00000000-0008-0000-0000-00004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68" name="Line 1812">
          <a:extLst>
            <a:ext uri="{FF2B5EF4-FFF2-40B4-BE49-F238E27FC236}">
              <a16:creationId xmlns:a16="http://schemas.microsoft.com/office/drawing/2014/main" id="{00000000-0008-0000-0000-00004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69" name="Line 1813">
          <a:extLst>
            <a:ext uri="{FF2B5EF4-FFF2-40B4-BE49-F238E27FC236}">
              <a16:creationId xmlns:a16="http://schemas.microsoft.com/office/drawing/2014/main" id="{00000000-0008-0000-0000-00004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70" name="Line 1814">
          <a:extLst>
            <a:ext uri="{FF2B5EF4-FFF2-40B4-BE49-F238E27FC236}">
              <a16:creationId xmlns:a16="http://schemas.microsoft.com/office/drawing/2014/main" id="{00000000-0008-0000-0000-00004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71" name="Line 1815">
          <a:extLst>
            <a:ext uri="{FF2B5EF4-FFF2-40B4-BE49-F238E27FC236}">
              <a16:creationId xmlns:a16="http://schemas.microsoft.com/office/drawing/2014/main" id="{00000000-0008-0000-0000-00004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72" name="Line 1816">
          <a:extLst>
            <a:ext uri="{FF2B5EF4-FFF2-40B4-BE49-F238E27FC236}">
              <a16:creationId xmlns:a16="http://schemas.microsoft.com/office/drawing/2014/main" id="{00000000-0008-0000-0000-00005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73" name="Line 1817">
          <a:extLst>
            <a:ext uri="{FF2B5EF4-FFF2-40B4-BE49-F238E27FC236}">
              <a16:creationId xmlns:a16="http://schemas.microsoft.com/office/drawing/2014/main" id="{00000000-0008-0000-0000-00005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74" name="Line 1818">
          <a:extLst>
            <a:ext uri="{FF2B5EF4-FFF2-40B4-BE49-F238E27FC236}">
              <a16:creationId xmlns:a16="http://schemas.microsoft.com/office/drawing/2014/main" id="{00000000-0008-0000-0000-00005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75" name="Line 1819">
          <a:extLst>
            <a:ext uri="{FF2B5EF4-FFF2-40B4-BE49-F238E27FC236}">
              <a16:creationId xmlns:a16="http://schemas.microsoft.com/office/drawing/2014/main" id="{00000000-0008-0000-0000-00005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76" name="Line 1820">
          <a:extLst>
            <a:ext uri="{FF2B5EF4-FFF2-40B4-BE49-F238E27FC236}">
              <a16:creationId xmlns:a16="http://schemas.microsoft.com/office/drawing/2014/main" id="{00000000-0008-0000-0000-00005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77" name="Line 1821">
          <a:extLst>
            <a:ext uri="{FF2B5EF4-FFF2-40B4-BE49-F238E27FC236}">
              <a16:creationId xmlns:a16="http://schemas.microsoft.com/office/drawing/2014/main" id="{00000000-0008-0000-0000-00005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78" name="Line 1822">
          <a:extLst>
            <a:ext uri="{FF2B5EF4-FFF2-40B4-BE49-F238E27FC236}">
              <a16:creationId xmlns:a16="http://schemas.microsoft.com/office/drawing/2014/main" id="{00000000-0008-0000-0000-00005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79" name="Line 1823">
          <a:extLst>
            <a:ext uri="{FF2B5EF4-FFF2-40B4-BE49-F238E27FC236}">
              <a16:creationId xmlns:a16="http://schemas.microsoft.com/office/drawing/2014/main" id="{00000000-0008-0000-0000-00005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80" name="Line 1824">
          <a:extLst>
            <a:ext uri="{FF2B5EF4-FFF2-40B4-BE49-F238E27FC236}">
              <a16:creationId xmlns:a16="http://schemas.microsoft.com/office/drawing/2014/main" id="{00000000-0008-0000-0000-00005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81" name="Line 1825">
          <a:extLst>
            <a:ext uri="{FF2B5EF4-FFF2-40B4-BE49-F238E27FC236}">
              <a16:creationId xmlns:a16="http://schemas.microsoft.com/office/drawing/2014/main" id="{00000000-0008-0000-0000-00005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82" name="Line 1826">
          <a:extLst>
            <a:ext uri="{FF2B5EF4-FFF2-40B4-BE49-F238E27FC236}">
              <a16:creationId xmlns:a16="http://schemas.microsoft.com/office/drawing/2014/main" id="{00000000-0008-0000-0000-00005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83" name="Line 1827">
          <a:extLst>
            <a:ext uri="{FF2B5EF4-FFF2-40B4-BE49-F238E27FC236}">
              <a16:creationId xmlns:a16="http://schemas.microsoft.com/office/drawing/2014/main" id="{00000000-0008-0000-0000-00005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84" name="Line 1828">
          <a:extLst>
            <a:ext uri="{FF2B5EF4-FFF2-40B4-BE49-F238E27FC236}">
              <a16:creationId xmlns:a16="http://schemas.microsoft.com/office/drawing/2014/main" id="{00000000-0008-0000-0000-00005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85" name="Line 1829">
          <a:extLst>
            <a:ext uri="{FF2B5EF4-FFF2-40B4-BE49-F238E27FC236}">
              <a16:creationId xmlns:a16="http://schemas.microsoft.com/office/drawing/2014/main" id="{00000000-0008-0000-0000-00005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86" name="Line 1830">
          <a:extLst>
            <a:ext uri="{FF2B5EF4-FFF2-40B4-BE49-F238E27FC236}">
              <a16:creationId xmlns:a16="http://schemas.microsoft.com/office/drawing/2014/main" id="{00000000-0008-0000-0000-00005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87" name="Line 1831">
          <a:extLst>
            <a:ext uri="{FF2B5EF4-FFF2-40B4-BE49-F238E27FC236}">
              <a16:creationId xmlns:a16="http://schemas.microsoft.com/office/drawing/2014/main" id="{00000000-0008-0000-0000-00005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88" name="Line 1832">
          <a:extLst>
            <a:ext uri="{FF2B5EF4-FFF2-40B4-BE49-F238E27FC236}">
              <a16:creationId xmlns:a16="http://schemas.microsoft.com/office/drawing/2014/main" id="{00000000-0008-0000-0000-00006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89" name="Line 1833">
          <a:extLst>
            <a:ext uri="{FF2B5EF4-FFF2-40B4-BE49-F238E27FC236}">
              <a16:creationId xmlns:a16="http://schemas.microsoft.com/office/drawing/2014/main" id="{00000000-0008-0000-0000-00006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90" name="Line 1834">
          <a:extLst>
            <a:ext uri="{FF2B5EF4-FFF2-40B4-BE49-F238E27FC236}">
              <a16:creationId xmlns:a16="http://schemas.microsoft.com/office/drawing/2014/main" id="{00000000-0008-0000-0000-00006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91" name="Line 1835">
          <a:extLst>
            <a:ext uri="{FF2B5EF4-FFF2-40B4-BE49-F238E27FC236}">
              <a16:creationId xmlns:a16="http://schemas.microsoft.com/office/drawing/2014/main" id="{00000000-0008-0000-0000-00006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92" name="Line 1836">
          <a:extLst>
            <a:ext uri="{FF2B5EF4-FFF2-40B4-BE49-F238E27FC236}">
              <a16:creationId xmlns:a16="http://schemas.microsoft.com/office/drawing/2014/main" id="{00000000-0008-0000-0000-00006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93" name="Line 1837">
          <a:extLst>
            <a:ext uri="{FF2B5EF4-FFF2-40B4-BE49-F238E27FC236}">
              <a16:creationId xmlns:a16="http://schemas.microsoft.com/office/drawing/2014/main" id="{00000000-0008-0000-0000-00006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94" name="Line 1838">
          <a:extLst>
            <a:ext uri="{FF2B5EF4-FFF2-40B4-BE49-F238E27FC236}">
              <a16:creationId xmlns:a16="http://schemas.microsoft.com/office/drawing/2014/main" id="{00000000-0008-0000-0000-00006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95" name="Line 1839">
          <a:extLst>
            <a:ext uri="{FF2B5EF4-FFF2-40B4-BE49-F238E27FC236}">
              <a16:creationId xmlns:a16="http://schemas.microsoft.com/office/drawing/2014/main" id="{00000000-0008-0000-0000-00006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96" name="Line 1840">
          <a:extLst>
            <a:ext uri="{FF2B5EF4-FFF2-40B4-BE49-F238E27FC236}">
              <a16:creationId xmlns:a16="http://schemas.microsoft.com/office/drawing/2014/main" id="{00000000-0008-0000-0000-00006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97" name="Line 1841">
          <a:extLst>
            <a:ext uri="{FF2B5EF4-FFF2-40B4-BE49-F238E27FC236}">
              <a16:creationId xmlns:a16="http://schemas.microsoft.com/office/drawing/2014/main" id="{00000000-0008-0000-0000-00006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298" name="Line 1842">
          <a:extLst>
            <a:ext uri="{FF2B5EF4-FFF2-40B4-BE49-F238E27FC236}">
              <a16:creationId xmlns:a16="http://schemas.microsoft.com/office/drawing/2014/main" id="{00000000-0008-0000-0000-00006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299" name="Line 1843">
          <a:extLst>
            <a:ext uri="{FF2B5EF4-FFF2-40B4-BE49-F238E27FC236}">
              <a16:creationId xmlns:a16="http://schemas.microsoft.com/office/drawing/2014/main" id="{00000000-0008-0000-0000-00006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00" name="Line 1844">
          <a:extLst>
            <a:ext uri="{FF2B5EF4-FFF2-40B4-BE49-F238E27FC236}">
              <a16:creationId xmlns:a16="http://schemas.microsoft.com/office/drawing/2014/main" id="{00000000-0008-0000-0000-00006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01" name="Line 1845">
          <a:extLst>
            <a:ext uri="{FF2B5EF4-FFF2-40B4-BE49-F238E27FC236}">
              <a16:creationId xmlns:a16="http://schemas.microsoft.com/office/drawing/2014/main" id="{00000000-0008-0000-0000-00006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02" name="Line 1846">
          <a:extLst>
            <a:ext uri="{FF2B5EF4-FFF2-40B4-BE49-F238E27FC236}">
              <a16:creationId xmlns:a16="http://schemas.microsoft.com/office/drawing/2014/main" id="{00000000-0008-0000-0000-00006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03" name="Line 1847">
          <a:extLst>
            <a:ext uri="{FF2B5EF4-FFF2-40B4-BE49-F238E27FC236}">
              <a16:creationId xmlns:a16="http://schemas.microsoft.com/office/drawing/2014/main" id="{00000000-0008-0000-0000-00006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04" name="Line 1848">
          <a:extLst>
            <a:ext uri="{FF2B5EF4-FFF2-40B4-BE49-F238E27FC236}">
              <a16:creationId xmlns:a16="http://schemas.microsoft.com/office/drawing/2014/main" id="{00000000-0008-0000-0000-00007024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05" name="Line 1849">
          <a:extLst>
            <a:ext uri="{FF2B5EF4-FFF2-40B4-BE49-F238E27FC236}">
              <a16:creationId xmlns:a16="http://schemas.microsoft.com/office/drawing/2014/main" id="{00000000-0008-0000-0000-00007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06" name="Line 1850">
          <a:extLst>
            <a:ext uri="{FF2B5EF4-FFF2-40B4-BE49-F238E27FC236}">
              <a16:creationId xmlns:a16="http://schemas.microsoft.com/office/drawing/2014/main" id="{00000000-0008-0000-0000-00007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07" name="Line 1851">
          <a:extLst>
            <a:ext uri="{FF2B5EF4-FFF2-40B4-BE49-F238E27FC236}">
              <a16:creationId xmlns:a16="http://schemas.microsoft.com/office/drawing/2014/main" id="{00000000-0008-0000-0000-00007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08" name="Line 1852">
          <a:extLst>
            <a:ext uri="{FF2B5EF4-FFF2-40B4-BE49-F238E27FC236}">
              <a16:creationId xmlns:a16="http://schemas.microsoft.com/office/drawing/2014/main" id="{00000000-0008-0000-0000-00007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09" name="Line 1853">
          <a:extLst>
            <a:ext uri="{FF2B5EF4-FFF2-40B4-BE49-F238E27FC236}">
              <a16:creationId xmlns:a16="http://schemas.microsoft.com/office/drawing/2014/main" id="{00000000-0008-0000-0000-00007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10" name="Line 1854">
          <a:extLst>
            <a:ext uri="{FF2B5EF4-FFF2-40B4-BE49-F238E27FC236}">
              <a16:creationId xmlns:a16="http://schemas.microsoft.com/office/drawing/2014/main" id="{00000000-0008-0000-0000-00007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11" name="Line 1855">
          <a:extLst>
            <a:ext uri="{FF2B5EF4-FFF2-40B4-BE49-F238E27FC236}">
              <a16:creationId xmlns:a16="http://schemas.microsoft.com/office/drawing/2014/main" id="{00000000-0008-0000-0000-00007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12" name="Line 1856">
          <a:extLst>
            <a:ext uri="{FF2B5EF4-FFF2-40B4-BE49-F238E27FC236}">
              <a16:creationId xmlns:a16="http://schemas.microsoft.com/office/drawing/2014/main" id="{00000000-0008-0000-0000-00007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13" name="Line 1857">
          <a:extLst>
            <a:ext uri="{FF2B5EF4-FFF2-40B4-BE49-F238E27FC236}">
              <a16:creationId xmlns:a16="http://schemas.microsoft.com/office/drawing/2014/main" id="{00000000-0008-0000-0000-00007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14" name="Line 1858">
          <a:extLst>
            <a:ext uri="{FF2B5EF4-FFF2-40B4-BE49-F238E27FC236}">
              <a16:creationId xmlns:a16="http://schemas.microsoft.com/office/drawing/2014/main" id="{00000000-0008-0000-0000-00007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15" name="Line 1859">
          <a:extLst>
            <a:ext uri="{FF2B5EF4-FFF2-40B4-BE49-F238E27FC236}">
              <a16:creationId xmlns:a16="http://schemas.microsoft.com/office/drawing/2014/main" id="{00000000-0008-0000-0000-00007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16" name="Line 1860">
          <a:extLst>
            <a:ext uri="{FF2B5EF4-FFF2-40B4-BE49-F238E27FC236}">
              <a16:creationId xmlns:a16="http://schemas.microsoft.com/office/drawing/2014/main" id="{00000000-0008-0000-0000-00007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17" name="Line 1861">
          <a:extLst>
            <a:ext uri="{FF2B5EF4-FFF2-40B4-BE49-F238E27FC236}">
              <a16:creationId xmlns:a16="http://schemas.microsoft.com/office/drawing/2014/main" id="{00000000-0008-0000-0000-00007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18" name="Line 1862">
          <a:extLst>
            <a:ext uri="{FF2B5EF4-FFF2-40B4-BE49-F238E27FC236}">
              <a16:creationId xmlns:a16="http://schemas.microsoft.com/office/drawing/2014/main" id="{00000000-0008-0000-0000-00007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19" name="Line 1863">
          <a:extLst>
            <a:ext uri="{FF2B5EF4-FFF2-40B4-BE49-F238E27FC236}">
              <a16:creationId xmlns:a16="http://schemas.microsoft.com/office/drawing/2014/main" id="{00000000-0008-0000-0000-00007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20" name="Line 1864">
          <a:extLst>
            <a:ext uri="{FF2B5EF4-FFF2-40B4-BE49-F238E27FC236}">
              <a16:creationId xmlns:a16="http://schemas.microsoft.com/office/drawing/2014/main" id="{00000000-0008-0000-0000-00008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21" name="Line 1865">
          <a:extLst>
            <a:ext uri="{FF2B5EF4-FFF2-40B4-BE49-F238E27FC236}">
              <a16:creationId xmlns:a16="http://schemas.microsoft.com/office/drawing/2014/main" id="{00000000-0008-0000-0000-00008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22" name="Line 1866">
          <a:extLst>
            <a:ext uri="{FF2B5EF4-FFF2-40B4-BE49-F238E27FC236}">
              <a16:creationId xmlns:a16="http://schemas.microsoft.com/office/drawing/2014/main" id="{00000000-0008-0000-0000-00008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23" name="Line 1867">
          <a:extLst>
            <a:ext uri="{FF2B5EF4-FFF2-40B4-BE49-F238E27FC236}">
              <a16:creationId xmlns:a16="http://schemas.microsoft.com/office/drawing/2014/main" id="{00000000-0008-0000-0000-00008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24" name="Line 1868">
          <a:extLst>
            <a:ext uri="{FF2B5EF4-FFF2-40B4-BE49-F238E27FC236}">
              <a16:creationId xmlns:a16="http://schemas.microsoft.com/office/drawing/2014/main" id="{00000000-0008-0000-0000-00008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25" name="Line 1869">
          <a:extLst>
            <a:ext uri="{FF2B5EF4-FFF2-40B4-BE49-F238E27FC236}">
              <a16:creationId xmlns:a16="http://schemas.microsoft.com/office/drawing/2014/main" id="{00000000-0008-0000-0000-00008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26" name="Line 1870">
          <a:extLst>
            <a:ext uri="{FF2B5EF4-FFF2-40B4-BE49-F238E27FC236}">
              <a16:creationId xmlns:a16="http://schemas.microsoft.com/office/drawing/2014/main" id="{00000000-0008-0000-0000-00008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27" name="Line 1871">
          <a:extLst>
            <a:ext uri="{FF2B5EF4-FFF2-40B4-BE49-F238E27FC236}">
              <a16:creationId xmlns:a16="http://schemas.microsoft.com/office/drawing/2014/main" id="{00000000-0008-0000-0000-00008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28" name="Line 1872">
          <a:extLst>
            <a:ext uri="{FF2B5EF4-FFF2-40B4-BE49-F238E27FC236}">
              <a16:creationId xmlns:a16="http://schemas.microsoft.com/office/drawing/2014/main" id="{00000000-0008-0000-0000-00008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29" name="Line 1873">
          <a:extLst>
            <a:ext uri="{FF2B5EF4-FFF2-40B4-BE49-F238E27FC236}">
              <a16:creationId xmlns:a16="http://schemas.microsoft.com/office/drawing/2014/main" id="{00000000-0008-0000-0000-00008924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30" name="Line 1874">
          <a:extLst>
            <a:ext uri="{FF2B5EF4-FFF2-40B4-BE49-F238E27FC236}">
              <a16:creationId xmlns:a16="http://schemas.microsoft.com/office/drawing/2014/main" id="{00000000-0008-0000-0000-00008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31" name="Line 1875">
          <a:extLst>
            <a:ext uri="{FF2B5EF4-FFF2-40B4-BE49-F238E27FC236}">
              <a16:creationId xmlns:a16="http://schemas.microsoft.com/office/drawing/2014/main" id="{00000000-0008-0000-0000-00008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32" name="Line 1876">
          <a:extLst>
            <a:ext uri="{FF2B5EF4-FFF2-40B4-BE49-F238E27FC236}">
              <a16:creationId xmlns:a16="http://schemas.microsoft.com/office/drawing/2014/main" id="{00000000-0008-0000-0000-00008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33" name="Line 1877">
          <a:extLst>
            <a:ext uri="{FF2B5EF4-FFF2-40B4-BE49-F238E27FC236}">
              <a16:creationId xmlns:a16="http://schemas.microsoft.com/office/drawing/2014/main" id="{00000000-0008-0000-0000-00008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34" name="Line 1878">
          <a:extLst>
            <a:ext uri="{FF2B5EF4-FFF2-40B4-BE49-F238E27FC236}">
              <a16:creationId xmlns:a16="http://schemas.microsoft.com/office/drawing/2014/main" id="{00000000-0008-0000-0000-00008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35" name="Line 1879">
          <a:extLst>
            <a:ext uri="{FF2B5EF4-FFF2-40B4-BE49-F238E27FC236}">
              <a16:creationId xmlns:a16="http://schemas.microsoft.com/office/drawing/2014/main" id="{00000000-0008-0000-0000-00008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36" name="Line 1880">
          <a:extLst>
            <a:ext uri="{FF2B5EF4-FFF2-40B4-BE49-F238E27FC236}">
              <a16:creationId xmlns:a16="http://schemas.microsoft.com/office/drawing/2014/main" id="{00000000-0008-0000-0000-00009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37" name="Line 1881">
          <a:extLst>
            <a:ext uri="{FF2B5EF4-FFF2-40B4-BE49-F238E27FC236}">
              <a16:creationId xmlns:a16="http://schemas.microsoft.com/office/drawing/2014/main" id="{00000000-0008-0000-0000-00009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38" name="Line 1882">
          <a:extLst>
            <a:ext uri="{FF2B5EF4-FFF2-40B4-BE49-F238E27FC236}">
              <a16:creationId xmlns:a16="http://schemas.microsoft.com/office/drawing/2014/main" id="{00000000-0008-0000-0000-00009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39" name="Line 1883">
          <a:extLst>
            <a:ext uri="{FF2B5EF4-FFF2-40B4-BE49-F238E27FC236}">
              <a16:creationId xmlns:a16="http://schemas.microsoft.com/office/drawing/2014/main" id="{00000000-0008-0000-0000-00009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40" name="Line 1884">
          <a:extLst>
            <a:ext uri="{FF2B5EF4-FFF2-40B4-BE49-F238E27FC236}">
              <a16:creationId xmlns:a16="http://schemas.microsoft.com/office/drawing/2014/main" id="{00000000-0008-0000-0000-00009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41" name="Line 1885">
          <a:extLst>
            <a:ext uri="{FF2B5EF4-FFF2-40B4-BE49-F238E27FC236}">
              <a16:creationId xmlns:a16="http://schemas.microsoft.com/office/drawing/2014/main" id="{00000000-0008-0000-0000-00009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42" name="Line 1886">
          <a:extLst>
            <a:ext uri="{FF2B5EF4-FFF2-40B4-BE49-F238E27FC236}">
              <a16:creationId xmlns:a16="http://schemas.microsoft.com/office/drawing/2014/main" id="{00000000-0008-0000-0000-00009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43" name="Line 1887">
          <a:extLst>
            <a:ext uri="{FF2B5EF4-FFF2-40B4-BE49-F238E27FC236}">
              <a16:creationId xmlns:a16="http://schemas.microsoft.com/office/drawing/2014/main" id="{00000000-0008-0000-0000-00009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44" name="Line 1888">
          <a:extLst>
            <a:ext uri="{FF2B5EF4-FFF2-40B4-BE49-F238E27FC236}">
              <a16:creationId xmlns:a16="http://schemas.microsoft.com/office/drawing/2014/main" id="{00000000-0008-0000-0000-00009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45" name="Line 1889">
          <a:extLst>
            <a:ext uri="{FF2B5EF4-FFF2-40B4-BE49-F238E27FC236}">
              <a16:creationId xmlns:a16="http://schemas.microsoft.com/office/drawing/2014/main" id="{00000000-0008-0000-0000-00009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46" name="Line 1890">
          <a:extLst>
            <a:ext uri="{FF2B5EF4-FFF2-40B4-BE49-F238E27FC236}">
              <a16:creationId xmlns:a16="http://schemas.microsoft.com/office/drawing/2014/main" id="{00000000-0008-0000-0000-00009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47" name="Line 1891">
          <a:extLst>
            <a:ext uri="{FF2B5EF4-FFF2-40B4-BE49-F238E27FC236}">
              <a16:creationId xmlns:a16="http://schemas.microsoft.com/office/drawing/2014/main" id="{00000000-0008-0000-0000-00009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48" name="Line 1892">
          <a:extLst>
            <a:ext uri="{FF2B5EF4-FFF2-40B4-BE49-F238E27FC236}">
              <a16:creationId xmlns:a16="http://schemas.microsoft.com/office/drawing/2014/main" id="{00000000-0008-0000-0000-00009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49" name="Line 1893">
          <a:extLst>
            <a:ext uri="{FF2B5EF4-FFF2-40B4-BE49-F238E27FC236}">
              <a16:creationId xmlns:a16="http://schemas.microsoft.com/office/drawing/2014/main" id="{00000000-0008-0000-0000-00009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50" name="Line 1894">
          <a:extLst>
            <a:ext uri="{FF2B5EF4-FFF2-40B4-BE49-F238E27FC236}">
              <a16:creationId xmlns:a16="http://schemas.microsoft.com/office/drawing/2014/main" id="{00000000-0008-0000-0000-00009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51" name="Line 1895">
          <a:extLst>
            <a:ext uri="{FF2B5EF4-FFF2-40B4-BE49-F238E27FC236}">
              <a16:creationId xmlns:a16="http://schemas.microsoft.com/office/drawing/2014/main" id="{00000000-0008-0000-0000-00009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52" name="Line 1896">
          <a:extLst>
            <a:ext uri="{FF2B5EF4-FFF2-40B4-BE49-F238E27FC236}">
              <a16:creationId xmlns:a16="http://schemas.microsoft.com/office/drawing/2014/main" id="{00000000-0008-0000-0000-0000A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53" name="Line 1897">
          <a:extLst>
            <a:ext uri="{FF2B5EF4-FFF2-40B4-BE49-F238E27FC236}">
              <a16:creationId xmlns:a16="http://schemas.microsoft.com/office/drawing/2014/main" id="{00000000-0008-0000-0000-0000A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54" name="Line 1898">
          <a:extLst>
            <a:ext uri="{FF2B5EF4-FFF2-40B4-BE49-F238E27FC236}">
              <a16:creationId xmlns:a16="http://schemas.microsoft.com/office/drawing/2014/main" id="{00000000-0008-0000-0000-0000A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55" name="Line 1899">
          <a:extLst>
            <a:ext uri="{FF2B5EF4-FFF2-40B4-BE49-F238E27FC236}">
              <a16:creationId xmlns:a16="http://schemas.microsoft.com/office/drawing/2014/main" id="{00000000-0008-0000-0000-0000A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56" name="Line 1900">
          <a:extLst>
            <a:ext uri="{FF2B5EF4-FFF2-40B4-BE49-F238E27FC236}">
              <a16:creationId xmlns:a16="http://schemas.microsoft.com/office/drawing/2014/main" id="{00000000-0008-0000-0000-0000A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57" name="Line 1901">
          <a:extLst>
            <a:ext uri="{FF2B5EF4-FFF2-40B4-BE49-F238E27FC236}">
              <a16:creationId xmlns:a16="http://schemas.microsoft.com/office/drawing/2014/main" id="{00000000-0008-0000-0000-0000A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58" name="Line 1902">
          <a:extLst>
            <a:ext uri="{FF2B5EF4-FFF2-40B4-BE49-F238E27FC236}">
              <a16:creationId xmlns:a16="http://schemas.microsoft.com/office/drawing/2014/main" id="{00000000-0008-0000-0000-0000A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59" name="Line 1903">
          <a:extLst>
            <a:ext uri="{FF2B5EF4-FFF2-40B4-BE49-F238E27FC236}">
              <a16:creationId xmlns:a16="http://schemas.microsoft.com/office/drawing/2014/main" id="{00000000-0008-0000-0000-0000A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60" name="Line 1904">
          <a:extLst>
            <a:ext uri="{FF2B5EF4-FFF2-40B4-BE49-F238E27FC236}">
              <a16:creationId xmlns:a16="http://schemas.microsoft.com/office/drawing/2014/main" id="{00000000-0008-0000-0000-0000A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61" name="Line 1905">
          <a:extLst>
            <a:ext uri="{FF2B5EF4-FFF2-40B4-BE49-F238E27FC236}">
              <a16:creationId xmlns:a16="http://schemas.microsoft.com/office/drawing/2014/main" id="{00000000-0008-0000-0000-0000A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62" name="Line 1906">
          <a:extLst>
            <a:ext uri="{FF2B5EF4-FFF2-40B4-BE49-F238E27FC236}">
              <a16:creationId xmlns:a16="http://schemas.microsoft.com/office/drawing/2014/main" id="{00000000-0008-0000-0000-0000A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63" name="Line 1907">
          <a:extLst>
            <a:ext uri="{FF2B5EF4-FFF2-40B4-BE49-F238E27FC236}">
              <a16:creationId xmlns:a16="http://schemas.microsoft.com/office/drawing/2014/main" id="{00000000-0008-0000-0000-0000A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64" name="Line 1908">
          <a:extLst>
            <a:ext uri="{FF2B5EF4-FFF2-40B4-BE49-F238E27FC236}">
              <a16:creationId xmlns:a16="http://schemas.microsoft.com/office/drawing/2014/main" id="{00000000-0008-0000-0000-0000A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65" name="Line 1909">
          <a:extLst>
            <a:ext uri="{FF2B5EF4-FFF2-40B4-BE49-F238E27FC236}">
              <a16:creationId xmlns:a16="http://schemas.microsoft.com/office/drawing/2014/main" id="{00000000-0008-0000-0000-0000A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66" name="Line 1910">
          <a:extLst>
            <a:ext uri="{FF2B5EF4-FFF2-40B4-BE49-F238E27FC236}">
              <a16:creationId xmlns:a16="http://schemas.microsoft.com/office/drawing/2014/main" id="{00000000-0008-0000-0000-0000A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67" name="Line 1911">
          <a:extLst>
            <a:ext uri="{FF2B5EF4-FFF2-40B4-BE49-F238E27FC236}">
              <a16:creationId xmlns:a16="http://schemas.microsoft.com/office/drawing/2014/main" id="{00000000-0008-0000-0000-0000A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68" name="Line 1912">
          <a:extLst>
            <a:ext uri="{FF2B5EF4-FFF2-40B4-BE49-F238E27FC236}">
              <a16:creationId xmlns:a16="http://schemas.microsoft.com/office/drawing/2014/main" id="{00000000-0008-0000-0000-0000B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69" name="Line 1913">
          <a:extLst>
            <a:ext uri="{FF2B5EF4-FFF2-40B4-BE49-F238E27FC236}">
              <a16:creationId xmlns:a16="http://schemas.microsoft.com/office/drawing/2014/main" id="{00000000-0008-0000-0000-0000B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70" name="Line 1914">
          <a:extLst>
            <a:ext uri="{FF2B5EF4-FFF2-40B4-BE49-F238E27FC236}">
              <a16:creationId xmlns:a16="http://schemas.microsoft.com/office/drawing/2014/main" id="{00000000-0008-0000-0000-0000B224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71" name="Line 1915">
          <a:extLst>
            <a:ext uri="{FF2B5EF4-FFF2-40B4-BE49-F238E27FC236}">
              <a16:creationId xmlns:a16="http://schemas.microsoft.com/office/drawing/2014/main" id="{00000000-0008-0000-0000-0000B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72" name="Line 1916">
          <a:extLst>
            <a:ext uri="{FF2B5EF4-FFF2-40B4-BE49-F238E27FC236}">
              <a16:creationId xmlns:a16="http://schemas.microsoft.com/office/drawing/2014/main" id="{00000000-0008-0000-0000-0000B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73" name="Line 1917">
          <a:extLst>
            <a:ext uri="{FF2B5EF4-FFF2-40B4-BE49-F238E27FC236}">
              <a16:creationId xmlns:a16="http://schemas.microsoft.com/office/drawing/2014/main" id="{00000000-0008-0000-0000-0000B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74" name="Line 1918">
          <a:extLst>
            <a:ext uri="{FF2B5EF4-FFF2-40B4-BE49-F238E27FC236}">
              <a16:creationId xmlns:a16="http://schemas.microsoft.com/office/drawing/2014/main" id="{00000000-0008-0000-0000-0000B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75" name="Line 1919">
          <a:extLst>
            <a:ext uri="{FF2B5EF4-FFF2-40B4-BE49-F238E27FC236}">
              <a16:creationId xmlns:a16="http://schemas.microsoft.com/office/drawing/2014/main" id="{00000000-0008-0000-0000-0000B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76" name="Line 1920">
          <a:extLst>
            <a:ext uri="{FF2B5EF4-FFF2-40B4-BE49-F238E27FC236}">
              <a16:creationId xmlns:a16="http://schemas.microsoft.com/office/drawing/2014/main" id="{00000000-0008-0000-0000-0000B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77" name="Line 1921">
          <a:extLst>
            <a:ext uri="{FF2B5EF4-FFF2-40B4-BE49-F238E27FC236}">
              <a16:creationId xmlns:a16="http://schemas.microsoft.com/office/drawing/2014/main" id="{00000000-0008-0000-0000-0000B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78" name="Line 1922">
          <a:extLst>
            <a:ext uri="{FF2B5EF4-FFF2-40B4-BE49-F238E27FC236}">
              <a16:creationId xmlns:a16="http://schemas.microsoft.com/office/drawing/2014/main" id="{00000000-0008-0000-0000-0000B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79" name="Line 1923">
          <a:extLst>
            <a:ext uri="{FF2B5EF4-FFF2-40B4-BE49-F238E27FC236}">
              <a16:creationId xmlns:a16="http://schemas.microsoft.com/office/drawing/2014/main" id="{00000000-0008-0000-0000-0000B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80" name="Line 1924">
          <a:extLst>
            <a:ext uri="{FF2B5EF4-FFF2-40B4-BE49-F238E27FC236}">
              <a16:creationId xmlns:a16="http://schemas.microsoft.com/office/drawing/2014/main" id="{00000000-0008-0000-0000-0000B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81" name="Line 1925">
          <a:extLst>
            <a:ext uri="{FF2B5EF4-FFF2-40B4-BE49-F238E27FC236}">
              <a16:creationId xmlns:a16="http://schemas.microsoft.com/office/drawing/2014/main" id="{00000000-0008-0000-0000-0000B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82" name="Line 1926">
          <a:extLst>
            <a:ext uri="{FF2B5EF4-FFF2-40B4-BE49-F238E27FC236}">
              <a16:creationId xmlns:a16="http://schemas.microsoft.com/office/drawing/2014/main" id="{00000000-0008-0000-0000-0000B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83" name="Line 1927">
          <a:extLst>
            <a:ext uri="{FF2B5EF4-FFF2-40B4-BE49-F238E27FC236}">
              <a16:creationId xmlns:a16="http://schemas.microsoft.com/office/drawing/2014/main" id="{00000000-0008-0000-0000-0000B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84" name="Line 1928">
          <a:extLst>
            <a:ext uri="{FF2B5EF4-FFF2-40B4-BE49-F238E27FC236}">
              <a16:creationId xmlns:a16="http://schemas.microsoft.com/office/drawing/2014/main" id="{00000000-0008-0000-0000-0000C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85" name="Line 1929">
          <a:extLst>
            <a:ext uri="{FF2B5EF4-FFF2-40B4-BE49-F238E27FC236}">
              <a16:creationId xmlns:a16="http://schemas.microsoft.com/office/drawing/2014/main" id="{00000000-0008-0000-0000-0000C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86" name="Line 1930">
          <a:extLst>
            <a:ext uri="{FF2B5EF4-FFF2-40B4-BE49-F238E27FC236}">
              <a16:creationId xmlns:a16="http://schemas.microsoft.com/office/drawing/2014/main" id="{00000000-0008-0000-0000-0000C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87" name="Line 1931">
          <a:extLst>
            <a:ext uri="{FF2B5EF4-FFF2-40B4-BE49-F238E27FC236}">
              <a16:creationId xmlns:a16="http://schemas.microsoft.com/office/drawing/2014/main" id="{00000000-0008-0000-0000-0000C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88" name="Line 1932">
          <a:extLst>
            <a:ext uri="{FF2B5EF4-FFF2-40B4-BE49-F238E27FC236}">
              <a16:creationId xmlns:a16="http://schemas.microsoft.com/office/drawing/2014/main" id="{00000000-0008-0000-0000-0000C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89" name="Line 1933">
          <a:extLst>
            <a:ext uri="{FF2B5EF4-FFF2-40B4-BE49-F238E27FC236}">
              <a16:creationId xmlns:a16="http://schemas.microsoft.com/office/drawing/2014/main" id="{00000000-0008-0000-0000-0000C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90" name="Line 1934">
          <a:extLst>
            <a:ext uri="{FF2B5EF4-FFF2-40B4-BE49-F238E27FC236}">
              <a16:creationId xmlns:a16="http://schemas.microsoft.com/office/drawing/2014/main" id="{00000000-0008-0000-0000-0000C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91" name="Line 1935">
          <a:extLst>
            <a:ext uri="{FF2B5EF4-FFF2-40B4-BE49-F238E27FC236}">
              <a16:creationId xmlns:a16="http://schemas.microsoft.com/office/drawing/2014/main" id="{00000000-0008-0000-0000-0000C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92" name="Line 1936">
          <a:extLst>
            <a:ext uri="{FF2B5EF4-FFF2-40B4-BE49-F238E27FC236}">
              <a16:creationId xmlns:a16="http://schemas.microsoft.com/office/drawing/2014/main" id="{00000000-0008-0000-0000-0000C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93" name="Line 1937">
          <a:extLst>
            <a:ext uri="{FF2B5EF4-FFF2-40B4-BE49-F238E27FC236}">
              <a16:creationId xmlns:a16="http://schemas.microsoft.com/office/drawing/2014/main" id="{00000000-0008-0000-0000-0000C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94" name="Line 1938">
          <a:extLst>
            <a:ext uri="{FF2B5EF4-FFF2-40B4-BE49-F238E27FC236}">
              <a16:creationId xmlns:a16="http://schemas.microsoft.com/office/drawing/2014/main" id="{00000000-0008-0000-0000-0000C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95" name="Line 1939">
          <a:extLst>
            <a:ext uri="{FF2B5EF4-FFF2-40B4-BE49-F238E27FC236}">
              <a16:creationId xmlns:a16="http://schemas.microsoft.com/office/drawing/2014/main" id="{00000000-0008-0000-0000-0000CB24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96" name="Line 1940">
          <a:extLst>
            <a:ext uri="{FF2B5EF4-FFF2-40B4-BE49-F238E27FC236}">
              <a16:creationId xmlns:a16="http://schemas.microsoft.com/office/drawing/2014/main" id="{00000000-0008-0000-0000-0000C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97" name="Line 1941">
          <a:extLst>
            <a:ext uri="{FF2B5EF4-FFF2-40B4-BE49-F238E27FC236}">
              <a16:creationId xmlns:a16="http://schemas.microsoft.com/office/drawing/2014/main" id="{00000000-0008-0000-0000-0000C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398" name="Line 1942">
          <a:extLst>
            <a:ext uri="{FF2B5EF4-FFF2-40B4-BE49-F238E27FC236}">
              <a16:creationId xmlns:a16="http://schemas.microsoft.com/office/drawing/2014/main" id="{00000000-0008-0000-0000-0000C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399" name="Line 1943">
          <a:extLst>
            <a:ext uri="{FF2B5EF4-FFF2-40B4-BE49-F238E27FC236}">
              <a16:creationId xmlns:a16="http://schemas.microsoft.com/office/drawing/2014/main" id="{00000000-0008-0000-0000-0000C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00" name="Line 1944">
          <a:extLst>
            <a:ext uri="{FF2B5EF4-FFF2-40B4-BE49-F238E27FC236}">
              <a16:creationId xmlns:a16="http://schemas.microsoft.com/office/drawing/2014/main" id="{00000000-0008-0000-0000-0000D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01" name="Line 1945">
          <a:extLst>
            <a:ext uri="{FF2B5EF4-FFF2-40B4-BE49-F238E27FC236}">
              <a16:creationId xmlns:a16="http://schemas.microsoft.com/office/drawing/2014/main" id="{00000000-0008-0000-0000-0000D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02" name="Line 1946">
          <a:extLst>
            <a:ext uri="{FF2B5EF4-FFF2-40B4-BE49-F238E27FC236}">
              <a16:creationId xmlns:a16="http://schemas.microsoft.com/office/drawing/2014/main" id="{00000000-0008-0000-0000-0000D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03" name="Line 1947">
          <a:extLst>
            <a:ext uri="{FF2B5EF4-FFF2-40B4-BE49-F238E27FC236}">
              <a16:creationId xmlns:a16="http://schemas.microsoft.com/office/drawing/2014/main" id="{00000000-0008-0000-0000-0000D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04" name="Line 1948">
          <a:extLst>
            <a:ext uri="{FF2B5EF4-FFF2-40B4-BE49-F238E27FC236}">
              <a16:creationId xmlns:a16="http://schemas.microsoft.com/office/drawing/2014/main" id="{00000000-0008-0000-0000-0000D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05" name="Line 1949">
          <a:extLst>
            <a:ext uri="{FF2B5EF4-FFF2-40B4-BE49-F238E27FC236}">
              <a16:creationId xmlns:a16="http://schemas.microsoft.com/office/drawing/2014/main" id="{00000000-0008-0000-0000-0000D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06" name="Line 1950">
          <a:extLst>
            <a:ext uri="{FF2B5EF4-FFF2-40B4-BE49-F238E27FC236}">
              <a16:creationId xmlns:a16="http://schemas.microsoft.com/office/drawing/2014/main" id="{00000000-0008-0000-0000-0000D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07" name="Line 1951">
          <a:extLst>
            <a:ext uri="{FF2B5EF4-FFF2-40B4-BE49-F238E27FC236}">
              <a16:creationId xmlns:a16="http://schemas.microsoft.com/office/drawing/2014/main" id="{00000000-0008-0000-0000-0000D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08" name="Line 1952">
          <a:extLst>
            <a:ext uri="{FF2B5EF4-FFF2-40B4-BE49-F238E27FC236}">
              <a16:creationId xmlns:a16="http://schemas.microsoft.com/office/drawing/2014/main" id="{00000000-0008-0000-0000-0000D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09" name="Line 1953">
          <a:extLst>
            <a:ext uri="{FF2B5EF4-FFF2-40B4-BE49-F238E27FC236}">
              <a16:creationId xmlns:a16="http://schemas.microsoft.com/office/drawing/2014/main" id="{00000000-0008-0000-0000-0000D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10" name="Line 1954">
          <a:extLst>
            <a:ext uri="{FF2B5EF4-FFF2-40B4-BE49-F238E27FC236}">
              <a16:creationId xmlns:a16="http://schemas.microsoft.com/office/drawing/2014/main" id="{00000000-0008-0000-0000-0000D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11" name="Line 1955">
          <a:extLst>
            <a:ext uri="{FF2B5EF4-FFF2-40B4-BE49-F238E27FC236}">
              <a16:creationId xmlns:a16="http://schemas.microsoft.com/office/drawing/2014/main" id="{00000000-0008-0000-0000-0000D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12" name="Line 1956">
          <a:extLst>
            <a:ext uri="{FF2B5EF4-FFF2-40B4-BE49-F238E27FC236}">
              <a16:creationId xmlns:a16="http://schemas.microsoft.com/office/drawing/2014/main" id="{00000000-0008-0000-0000-0000D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13" name="Line 1957">
          <a:extLst>
            <a:ext uri="{FF2B5EF4-FFF2-40B4-BE49-F238E27FC236}">
              <a16:creationId xmlns:a16="http://schemas.microsoft.com/office/drawing/2014/main" id="{00000000-0008-0000-0000-0000D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14" name="Line 1958">
          <a:extLst>
            <a:ext uri="{FF2B5EF4-FFF2-40B4-BE49-F238E27FC236}">
              <a16:creationId xmlns:a16="http://schemas.microsoft.com/office/drawing/2014/main" id="{00000000-0008-0000-0000-0000D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15" name="Line 1959">
          <a:extLst>
            <a:ext uri="{FF2B5EF4-FFF2-40B4-BE49-F238E27FC236}">
              <a16:creationId xmlns:a16="http://schemas.microsoft.com/office/drawing/2014/main" id="{00000000-0008-0000-0000-0000D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16" name="Line 1960">
          <a:extLst>
            <a:ext uri="{FF2B5EF4-FFF2-40B4-BE49-F238E27FC236}">
              <a16:creationId xmlns:a16="http://schemas.microsoft.com/office/drawing/2014/main" id="{00000000-0008-0000-0000-0000E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17" name="Line 1961">
          <a:extLst>
            <a:ext uri="{FF2B5EF4-FFF2-40B4-BE49-F238E27FC236}">
              <a16:creationId xmlns:a16="http://schemas.microsoft.com/office/drawing/2014/main" id="{00000000-0008-0000-0000-0000E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18" name="Line 1962">
          <a:extLst>
            <a:ext uri="{FF2B5EF4-FFF2-40B4-BE49-F238E27FC236}">
              <a16:creationId xmlns:a16="http://schemas.microsoft.com/office/drawing/2014/main" id="{00000000-0008-0000-0000-0000E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19" name="Line 1963">
          <a:extLst>
            <a:ext uri="{FF2B5EF4-FFF2-40B4-BE49-F238E27FC236}">
              <a16:creationId xmlns:a16="http://schemas.microsoft.com/office/drawing/2014/main" id="{00000000-0008-0000-0000-0000E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20" name="Line 1964">
          <a:extLst>
            <a:ext uri="{FF2B5EF4-FFF2-40B4-BE49-F238E27FC236}">
              <a16:creationId xmlns:a16="http://schemas.microsoft.com/office/drawing/2014/main" id="{00000000-0008-0000-0000-0000E4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21" name="Line 1965">
          <a:extLst>
            <a:ext uri="{FF2B5EF4-FFF2-40B4-BE49-F238E27FC236}">
              <a16:creationId xmlns:a16="http://schemas.microsoft.com/office/drawing/2014/main" id="{00000000-0008-0000-0000-0000E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22" name="Line 1966">
          <a:extLst>
            <a:ext uri="{FF2B5EF4-FFF2-40B4-BE49-F238E27FC236}">
              <a16:creationId xmlns:a16="http://schemas.microsoft.com/office/drawing/2014/main" id="{00000000-0008-0000-0000-0000E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23" name="Line 1967">
          <a:extLst>
            <a:ext uri="{FF2B5EF4-FFF2-40B4-BE49-F238E27FC236}">
              <a16:creationId xmlns:a16="http://schemas.microsoft.com/office/drawing/2014/main" id="{00000000-0008-0000-0000-0000E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24" name="Line 1968">
          <a:extLst>
            <a:ext uri="{FF2B5EF4-FFF2-40B4-BE49-F238E27FC236}">
              <a16:creationId xmlns:a16="http://schemas.microsoft.com/office/drawing/2014/main" id="{00000000-0008-0000-0000-0000E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25" name="Line 1969">
          <a:extLst>
            <a:ext uri="{FF2B5EF4-FFF2-40B4-BE49-F238E27FC236}">
              <a16:creationId xmlns:a16="http://schemas.microsoft.com/office/drawing/2014/main" id="{00000000-0008-0000-0000-0000E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26" name="Line 1970">
          <a:extLst>
            <a:ext uri="{FF2B5EF4-FFF2-40B4-BE49-F238E27FC236}">
              <a16:creationId xmlns:a16="http://schemas.microsoft.com/office/drawing/2014/main" id="{00000000-0008-0000-0000-0000E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27" name="Line 1971">
          <a:extLst>
            <a:ext uri="{FF2B5EF4-FFF2-40B4-BE49-F238E27FC236}">
              <a16:creationId xmlns:a16="http://schemas.microsoft.com/office/drawing/2014/main" id="{00000000-0008-0000-0000-0000E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28" name="Line 1972">
          <a:extLst>
            <a:ext uri="{FF2B5EF4-FFF2-40B4-BE49-F238E27FC236}">
              <a16:creationId xmlns:a16="http://schemas.microsoft.com/office/drawing/2014/main" id="{00000000-0008-0000-0000-0000E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29" name="Line 1973">
          <a:extLst>
            <a:ext uri="{FF2B5EF4-FFF2-40B4-BE49-F238E27FC236}">
              <a16:creationId xmlns:a16="http://schemas.microsoft.com/office/drawing/2014/main" id="{00000000-0008-0000-0000-0000E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30" name="Line 1974">
          <a:extLst>
            <a:ext uri="{FF2B5EF4-FFF2-40B4-BE49-F238E27FC236}">
              <a16:creationId xmlns:a16="http://schemas.microsoft.com/office/drawing/2014/main" id="{00000000-0008-0000-0000-0000E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31" name="Line 1975">
          <a:extLst>
            <a:ext uri="{FF2B5EF4-FFF2-40B4-BE49-F238E27FC236}">
              <a16:creationId xmlns:a16="http://schemas.microsoft.com/office/drawing/2014/main" id="{00000000-0008-0000-0000-0000E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32" name="Line 1976">
          <a:extLst>
            <a:ext uri="{FF2B5EF4-FFF2-40B4-BE49-F238E27FC236}">
              <a16:creationId xmlns:a16="http://schemas.microsoft.com/office/drawing/2014/main" id="{00000000-0008-0000-0000-0000F0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33" name="Line 1977">
          <a:extLst>
            <a:ext uri="{FF2B5EF4-FFF2-40B4-BE49-F238E27FC236}">
              <a16:creationId xmlns:a16="http://schemas.microsoft.com/office/drawing/2014/main" id="{00000000-0008-0000-0000-0000F1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34" name="Line 1978">
          <a:extLst>
            <a:ext uri="{FF2B5EF4-FFF2-40B4-BE49-F238E27FC236}">
              <a16:creationId xmlns:a16="http://schemas.microsoft.com/office/drawing/2014/main" id="{00000000-0008-0000-0000-0000F2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35" name="Line 1979">
          <a:extLst>
            <a:ext uri="{FF2B5EF4-FFF2-40B4-BE49-F238E27FC236}">
              <a16:creationId xmlns:a16="http://schemas.microsoft.com/office/drawing/2014/main" id="{00000000-0008-0000-0000-0000F3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36" name="Line 1980">
          <a:extLst>
            <a:ext uri="{FF2B5EF4-FFF2-40B4-BE49-F238E27FC236}">
              <a16:creationId xmlns:a16="http://schemas.microsoft.com/office/drawing/2014/main" id="{00000000-0008-0000-0000-0000F424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37" name="Line 1981">
          <a:extLst>
            <a:ext uri="{FF2B5EF4-FFF2-40B4-BE49-F238E27FC236}">
              <a16:creationId xmlns:a16="http://schemas.microsoft.com/office/drawing/2014/main" id="{00000000-0008-0000-0000-0000F5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38" name="Line 1982">
          <a:extLst>
            <a:ext uri="{FF2B5EF4-FFF2-40B4-BE49-F238E27FC236}">
              <a16:creationId xmlns:a16="http://schemas.microsoft.com/office/drawing/2014/main" id="{00000000-0008-0000-0000-0000F6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39" name="Line 1983">
          <a:extLst>
            <a:ext uri="{FF2B5EF4-FFF2-40B4-BE49-F238E27FC236}">
              <a16:creationId xmlns:a16="http://schemas.microsoft.com/office/drawing/2014/main" id="{00000000-0008-0000-0000-0000F7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40" name="Line 1984">
          <a:extLst>
            <a:ext uri="{FF2B5EF4-FFF2-40B4-BE49-F238E27FC236}">
              <a16:creationId xmlns:a16="http://schemas.microsoft.com/office/drawing/2014/main" id="{00000000-0008-0000-0000-0000F8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41" name="Line 1985">
          <a:extLst>
            <a:ext uri="{FF2B5EF4-FFF2-40B4-BE49-F238E27FC236}">
              <a16:creationId xmlns:a16="http://schemas.microsoft.com/office/drawing/2014/main" id="{00000000-0008-0000-0000-0000F9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42" name="Line 1986">
          <a:extLst>
            <a:ext uri="{FF2B5EF4-FFF2-40B4-BE49-F238E27FC236}">
              <a16:creationId xmlns:a16="http://schemas.microsoft.com/office/drawing/2014/main" id="{00000000-0008-0000-0000-0000FA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43" name="Line 1987">
          <a:extLst>
            <a:ext uri="{FF2B5EF4-FFF2-40B4-BE49-F238E27FC236}">
              <a16:creationId xmlns:a16="http://schemas.microsoft.com/office/drawing/2014/main" id="{00000000-0008-0000-0000-0000FB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44" name="Line 1988">
          <a:extLst>
            <a:ext uri="{FF2B5EF4-FFF2-40B4-BE49-F238E27FC236}">
              <a16:creationId xmlns:a16="http://schemas.microsoft.com/office/drawing/2014/main" id="{00000000-0008-0000-0000-0000FC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45" name="Line 1989">
          <a:extLst>
            <a:ext uri="{FF2B5EF4-FFF2-40B4-BE49-F238E27FC236}">
              <a16:creationId xmlns:a16="http://schemas.microsoft.com/office/drawing/2014/main" id="{00000000-0008-0000-0000-0000FD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46" name="Line 1990">
          <a:extLst>
            <a:ext uri="{FF2B5EF4-FFF2-40B4-BE49-F238E27FC236}">
              <a16:creationId xmlns:a16="http://schemas.microsoft.com/office/drawing/2014/main" id="{00000000-0008-0000-0000-0000FE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47" name="Line 1991">
          <a:extLst>
            <a:ext uri="{FF2B5EF4-FFF2-40B4-BE49-F238E27FC236}">
              <a16:creationId xmlns:a16="http://schemas.microsoft.com/office/drawing/2014/main" id="{00000000-0008-0000-0000-0000FF24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48" name="Line 1992">
          <a:extLst>
            <a:ext uri="{FF2B5EF4-FFF2-40B4-BE49-F238E27FC236}">
              <a16:creationId xmlns:a16="http://schemas.microsoft.com/office/drawing/2014/main" id="{00000000-0008-0000-0000-00000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49" name="Line 1993">
          <a:extLst>
            <a:ext uri="{FF2B5EF4-FFF2-40B4-BE49-F238E27FC236}">
              <a16:creationId xmlns:a16="http://schemas.microsoft.com/office/drawing/2014/main" id="{00000000-0008-0000-0000-00000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50" name="Line 1994">
          <a:extLst>
            <a:ext uri="{FF2B5EF4-FFF2-40B4-BE49-F238E27FC236}">
              <a16:creationId xmlns:a16="http://schemas.microsoft.com/office/drawing/2014/main" id="{00000000-0008-0000-0000-00000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51" name="Line 1995">
          <a:extLst>
            <a:ext uri="{FF2B5EF4-FFF2-40B4-BE49-F238E27FC236}">
              <a16:creationId xmlns:a16="http://schemas.microsoft.com/office/drawing/2014/main" id="{00000000-0008-0000-0000-00000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52" name="Line 1996">
          <a:extLst>
            <a:ext uri="{FF2B5EF4-FFF2-40B4-BE49-F238E27FC236}">
              <a16:creationId xmlns:a16="http://schemas.microsoft.com/office/drawing/2014/main" id="{00000000-0008-0000-0000-00000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53" name="Line 1997">
          <a:extLst>
            <a:ext uri="{FF2B5EF4-FFF2-40B4-BE49-F238E27FC236}">
              <a16:creationId xmlns:a16="http://schemas.microsoft.com/office/drawing/2014/main" id="{00000000-0008-0000-0000-00000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54" name="Line 1998">
          <a:extLst>
            <a:ext uri="{FF2B5EF4-FFF2-40B4-BE49-F238E27FC236}">
              <a16:creationId xmlns:a16="http://schemas.microsoft.com/office/drawing/2014/main" id="{00000000-0008-0000-0000-00000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55" name="Line 1999">
          <a:extLst>
            <a:ext uri="{FF2B5EF4-FFF2-40B4-BE49-F238E27FC236}">
              <a16:creationId xmlns:a16="http://schemas.microsoft.com/office/drawing/2014/main" id="{00000000-0008-0000-0000-00000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56" name="Line 2000">
          <a:extLst>
            <a:ext uri="{FF2B5EF4-FFF2-40B4-BE49-F238E27FC236}">
              <a16:creationId xmlns:a16="http://schemas.microsoft.com/office/drawing/2014/main" id="{00000000-0008-0000-0000-00000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57" name="Line 2001">
          <a:extLst>
            <a:ext uri="{FF2B5EF4-FFF2-40B4-BE49-F238E27FC236}">
              <a16:creationId xmlns:a16="http://schemas.microsoft.com/office/drawing/2014/main" id="{00000000-0008-0000-0000-00000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58" name="Line 2002">
          <a:extLst>
            <a:ext uri="{FF2B5EF4-FFF2-40B4-BE49-F238E27FC236}">
              <a16:creationId xmlns:a16="http://schemas.microsoft.com/office/drawing/2014/main" id="{00000000-0008-0000-0000-00000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59" name="Line 2003">
          <a:extLst>
            <a:ext uri="{FF2B5EF4-FFF2-40B4-BE49-F238E27FC236}">
              <a16:creationId xmlns:a16="http://schemas.microsoft.com/office/drawing/2014/main" id="{00000000-0008-0000-0000-00000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60" name="Line 2004">
          <a:extLst>
            <a:ext uri="{FF2B5EF4-FFF2-40B4-BE49-F238E27FC236}">
              <a16:creationId xmlns:a16="http://schemas.microsoft.com/office/drawing/2014/main" id="{00000000-0008-0000-0000-00000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61" name="Line 2005">
          <a:extLst>
            <a:ext uri="{FF2B5EF4-FFF2-40B4-BE49-F238E27FC236}">
              <a16:creationId xmlns:a16="http://schemas.microsoft.com/office/drawing/2014/main" id="{00000000-0008-0000-0000-00000D25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62" name="Line 2006">
          <a:extLst>
            <a:ext uri="{FF2B5EF4-FFF2-40B4-BE49-F238E27FC236}">
              <a16:creationId xmlns:a16="http://schemas.microsoft.com/office/drawing/2014/main" id="{00000000-0008-0000-0000-00000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63" name="Line 2007">
          <a:extLst>
            <a:ext uri="{FF2B5EF4-FFF2-40B4-BE49-F238E27FC236}">
              <a16:creationId xmlns:a16="http://schemas.microsoft.com/office/drawing/2014/main" id="{00000000-0008-0000-0000-00000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64" name="Line 2008">
          <a:extLst>
            <a:ext uri="{FF2B5EF4-FFF2-40B4-BE49-F238E27FC236}">
              <a16:creationId xmlns:a16="http://schemas.microsoft.com/office/drawing/2014/main" id="{00000000-0008-0000-0000-00001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65" name="Line 2009">
          <a:extLst>
            <a:ext uri="{FF2B5EF4-FFF2-40B4-BE49-F238E27FC236}">
              <a16:creationId xmlns:a16="http://schemas.microsoft.com/office/drawing/2014/main" id="{00000000-0008-0000-0000-00001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66" name="Line 2010">
          <a:extLst>
            <a:ext uri="{FF2B5EF4-FFF2-40B4-BE49-F238E27FC236}">
              <a16:creationId xmlns:a16="http://schemas.microsoft.com/office/drawing/2014/main" id="{00000000-0008-0000-0000-00001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67" name="Line 2011">
          <a:extLst>
            <a:ext uri="{FF2B5EF4-FFF2-40B4-BE49-F238E27FC236}">
              <a16:creationId xmlns:a16="http://schemas.microsoft.com/office/drawing/2014/main" id="{00000000-0008-0000-0000-00001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68" name="Line 2012">
          <a:extLst>
            <a:ext uri="{FF2B5EF4-FFF2-40B4-BE49-F238E27FC236}">
              <a16:creationId xmlns:a16="http://schemas.microsoft.com/office/drawing/2014/main" id="{00000000-0008-0000-0000-00001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69" name="Line 2013">
          <a:extLst>
            <a:ext uri="{FF2B5EF4-FFF2-40B4-BE49-F238E27FC236}">
              <a16:creationId xmlns:a16="http://schemas.microsoft.com/office/drawing/2014/main" id="{00000000-0008-0000-0000-00001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70" name="Line 2014">
          <a:extLst>
            <a:ext uri="{FF2B5EF4-FFF2-40B4-BE49-F238E27FC236}">
              <a16:creationId xmlns:a16="http://schemas.microsoft.com/office/drawing/2014/main" id="{00000000-0008-0000-0000-00001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71" name="Line 2015">
          <a:extLst>
            <a:ext uri="{FF2B5EF4-FFF2-40B4-BE49-F238E27FC236}">
              <a16:creationId xmlns:a16="http://schemas.microsoft.com/office/drawing/2014/main" id="{00000000-0008-0000-0000-00001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72" name="Line 2016">
          <a:extLst>
            <a:ext uri="{FF2B5EF4-FFF2-40B4-BE49-F238E27FC236}">
              <a16:creationId xmlns:a16="http://schemas.microsoft.com/office/drawing/2014/main" id="{00000000-0008-0000-0000-00001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73" name="Line 2017">
          <a:extLst>
            <a:ext uri="{FF2B5EF4-FFF2-40B4-BE49-F238E27FC236}">
              <a16:creationId xmlns:a16="http://schemas.microsoft.com/office/drawing/2014/main" id="{00000000-0008-0000-0000-00001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74" name="Line 2018">
          <a:extLst>
            <a:ext uri="{FF2B5EF4-FFF2-40B4-BE49-F238E27FC236}">
              <a16:creationId xmlns:a16="http://schemas.microsoft.com/office/drawing/2014/main" id="{00000000-0008-0000-0000-00001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75" name="Line 2019">
          <a:extLst>
            <a:ext uri="{FF2B5EF4-FFF2-40B4-BE49-F238E27FC236}">
              <a16:creationId xmlns:a16="http://schemas.microsoft.com/office/drawing/2014/main" id="{00000000-0008-0000-0000-00001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76" name="Line 2020">
          <a:extLst>
            <a:ext uri="{FF2B5EF4-FFF2-40B4-BE49-F238E27FC236}">
              <a16:creationId xmlns:a16="http://schemas.microsoft.com/office/drawing/2014/main" id="{00000000-0008-0000-0000-00001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77" name="Line 2021">
          <a:extLst>
            <a:ext uri="{FF2B5EF4-FFF2-40B4-BE49-F238E27FC236}">
              <a16:creationId xmlns:a16="http://schemas.microsoft.com/office/drawing/2014/main" id="{00000000-0008-0000-0000-00001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78" name="Line 2022">
          <a:extLst>
            <a:ext uri="{FF2B5EF4-FFF2-40B4-BE49-F238E27FC236}">
              <a16:creationId xmlns:a16="http://schemas.microsoft.com/office/drawing/2014/main" id="{00000000-0008-0000-0000-00001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79" name="Line 2023">
          <a:extLst>
            <a:ext uri="{FF2B5EF4-FFF2-40B4-BE49-F238E27FC236}">
              <a16:creationId xmlns:a16="http://schemas.microsoft.com/office/drawing/2014/main" id="{00000000-0008-0000-0000-00001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80" name="Line 2024">
          <a:extLst>
            <a:ext uri="{FF2B5EF4-FFF2-40B4-BE49-F238E27FC236}">
              <a16:creationId xmlns:a16="http://schemas.microsoft.com/office/drawing/2014/main" id="{00000000-0008-0000-0000-00002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81" name="Line 2025">
          <a:extLst>
            <a:ext uri="{FF2B5EF4-FFF2-40B4-BE49-F238E27FC236}">
              <a16:creationId xmlns:a16="http://schemas.microsoft.com/office/drawing/2014/main" id="{00000000-0008-0000-0000-00002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82" name="Line 2026">
          <a:extLst>
            <a:ext uri="{FF2B5EF4-FFF2-40B4-BE49-F238E27FC236}">
              <a16:creationId xmlns:a16="http://schemas.microsoft.com/office/drawing/2014/main" id="{00000000-0008-0000-0000-00002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83" name="Line 2027">
          <a:extLst>
            <a:ext uri="{FF2B5EF4-FFF2-40B4-BE49-F238E27FC236}">
              <a16:creationId xmlns:a16="http://schemas.microsoft.com/office/drawing/2014/main" id="{00000000-0008-0000-0000-00002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84" name="Line 2028">
          <a:extLst>
            <a:ext uri="{FF2B5EF4-FFF2-40B4-BE49-F238E27FC236}">
              <a16:creationId xmlns:a16="http://schemas.microsoft.com/office/drawing/2014/main" id="{00000000-0008-0000-0000-00002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85" name="Line 2029">
          <a:extLst>
            <a:ext uri="{FF2B5EF4-FFF2-40B4-BE49-F238E27FC236}">
              <a16:creationId xmlns:a16="http://schemas.microsoft.com/office/drawing/2014/main" id="{00000000-0008-0000-0000-00002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86" name="Line 2030">
          <a:extLst>
            <a:ext uri="{FF2B5EF4-FFF2-40B4-BE49-F238E27FC236}">
              <a16:creationId xmlns:a16="http://schemas.microsoft.com/office/drawing/2014/main" id="{00000000-0008-0000-0000-00002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87" name="Line 2031">
          <a:extLst>
            <a:ext uri="{FF2B5EF4-FFF2-40B4-BE49-F238E27FC236}">
              <a16:creationId xmlns:a16="http://schemas.microsoft.com/office/drawing/2014/main" id="{00000000-0008-0000-0000-00002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88" name="Line 2032">
          <a:extLst>
            <a:ext uri="{FF2B5EF4-FFF2-40B4-BE49-F238E27FC236}">
              <a16:creationId xmlns:a16="http://schemas.microsoft.com/office/drawing/2014/main" id="{00000000-0008-0000-0000-00002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89" name="Line 2033">
          <a:extLst>
            <a:ext uri="{FF2B5EF4-FFF2-40B4-BE49-F238E27FC236}">
              <a16:creationId xmlns:a16="http://schemas.microsoft.com/office/drawing/2014/main" id="{00000000-0008-0000-0000-00002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90" name="Line 2034">
          <a:extLst>
            <a:ext uri="{FF2B5EF4-FFF2-40B4-BE49-F238E27FC236}">
              <a16:creationId xmlns:a16="http://schemas.microsoft.com/office/drawing/2014/main" id="{00000000-0008-0000-0000-00002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91" name="Line 2035">
          <a:extLst>
            <a:ext uri="{FF2B5EF4-FFF2-40B4-BE49-F238E27FC236}">
              <a16:creationId xmlns:a16="http://schemas.microsoft.com/office/drawing/2014/main" id="{00000000-0008-0000-0000-00002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92" name="Line 2036">
          <a:extLst>
            <a:ext uri="{FF2B5EF4-FFF2-40B4-BE49-F238E27FC236}">
              <a16:creationId xmlns:a16="http://schemas.microsoft.com/office/drawing/2014/main" id="{00000000-0008-0000-0000-00002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93" name="Line 2037">
          <a:extLst>
            <a:ext uri="{FF2B5EF4-FFF2-40B4-BE49-F238E27FC236}">
              <a16:creationId xmlns:a16="http://schemas.microsoft.com/office/drawing/2014/main" id="{00000000-0008-0000-0000-00002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94" name="Line 2038">
          <a:extLst>
            <a:ext uri="{FF2B5EF4-FFF2-40B4-BE49-F238E27FC236}">
              <a16:creationId xmlns:a16="http://schemas.microsoft.com/office/drawing/2014/main" id="{00000000-0008-0000-0000-00002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95" name="Line 2039">
          <a:extLst>
            <a:ext uri="{FF2B5EF4-FFF2-40B4-BE49-F238E27FC236}">
              <a16:creationId xmlns:a16="http://schemas.microsoft.com/office/drawing/2014/main" id="{00000000-0008-0000-0000-00002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96" name="Line 2040">
          <a:extLst>
            <a:ext uri="{FF2B5EF4-FFF2-40B4-BE49-F238E27FC236}">
              <a16:creationId xmlns:a16="http://schemas.microsoft.com/office/drawing/2014/main" id="{00000000-0008-0000-0000-00003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97" name="Line 2041">
          <a:extLst>
            <a:ext uri="{FF2B5EF4-FFF2-40B4-BE49-F238E27FC236}">
              <a16:creationId xmlns:a16="http://schemas.microsoft.com/office/drawing/2014/main" id="{00000000-0008-0000-0000-00003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498" name="Line 2042">
          <a:extLst>
            <a:ext uri="{FF2B5EF4-FFF2-40B4-BE49-F238E27FC236}">
              <a16:creationId xmlns:a16="http://schemas.microsoft.com/office/drawing/2014/main" id="{00000000-0008-0000-0000-00003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499" name="Line 2043">
          <a:extLst>
            <a:ext uri="{FF2B5EF4-FFF2-40B4-BE49-F238E27FC236}">
              <a16:creationId xmlns:a16="http://schemas.microsoft.com/office/drawing/2014/main" id="{00000000-0008-0000-0000-00003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00" name="Line 2044">
          <a:extLst>
            <a:ext uri="{FF2B5EF4-FFF2-40B4-BE49-F238E27FC236}">
              <a16:creationId xmlns:a16="http://schemas.microsoft.com/office/drawing/2014/main" id="{00000000-0008-0000-0000-00003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01" name="Line 2045">
          <a:extLst>
            <a:ext uri="{FF2B5EF4-FFF2-40B4-BE49-F238E27FC236}">
              <a16:creationId xmlns:a16="http://schemas.microsoft.com/office/drawing/2014/main" id="{00000000-0008-0000-0000-00003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02" name="Line 2046">
          <a:extLst>
            <a:ext uri="{FF2B5EF4-FFF2-40B4-BE49-F238E27FC236}">
              <a16:creationId xmlns:a16="http://schemas.microsoft.com/office/drawing/2014/main" id="{00000000-0008-0000-0000-00003625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03" name="Line 2047">
          <a:extLst>
            <a:ext uri="{FF2B5EF4-FFF2-40B4-BE49-F238E27FC236}">
              <a16:creationId xmlns:a16="http://schemas.microsoft.com/office/drawing/2014/main" id="{00000000-0008-0000-0000-00003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04" name="Line 2048">
          <a:extLst>
            <a:ext uri="{FF2B5EF4-FFF2-40B4-BE49-F238E27FC236}">
              <a16:creationId xmlns:a16="http://schemas.microsoft.com/office/drawing/2014/main" id="{00000000-0008-0000-0000-00003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05" name="Line 2049">
          <a:extLst>
            <a:ext uri="{FF2B5EF4-FFF2-40B4-BE49-F238E27FC236}">
              <a16:creationId xmlns:a16="http://schemas.microsoft.com/office/drawing/2014/main" id="{00000000-0008-0000-0000-00003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06" name="Line 2050">
          <a:extLst>
            <a:ext uri="{FF2B5EF4-FFF2-40B4-BE49-F238E27FC236}">
              <a16:creationId xmlns:a16="http://schemas.microsoft.com/office/drawing/2014/main" id="{00000000-0008-0000-0000-00003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07" name="Line 2051">
          <a:extLst>
            <a:ext uri="{FF2B5EF4-FFF2-40B4-BE49-F238E27FC236}">
              <a16:creationId xmlns:a16="http://schemas.microsoft.com/office/drawing/2014/main" id="{00000000-0008-0000-0000-00003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08" name="Line 2052">
          <a:extLst>
            <a:ext uri="{FF2B5EF4-FFF2-40B4-BE49-F238E27FC236}">
              <a16:creationId xmlns:a16="http://schemas.microsoft.com/office/drawing/2014/main" id="{00000000-0008-0000-0000-00003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09" name="Line 2053">
          <a:extLst>
            <a:ext uri="{FF2B5EF4-FFF2-40B4-BE49-F238E27FC236}">
              <a16:creationId xmlns:a16="http://schemas.microsoft.com/office/drawing/2014/main" id="{00000000-0008-0000-0000-00003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10" name="Line 2054">
          <a:extLst>
            <a:ext uri="{FF2B5EF4-FFF2-40B4-BE49-F238E27FC236}">
              <a16:creationId xmlns:a16="http://schemas.microsoft.com/office/drawing/2014/main" id="{00000000-0008-0000-0000-00003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11" name="Line 2055">
          <a:extLst>
            <a:ext uri="{FF2B5EF4-FFF2-40B4-BE49-F238E27FC236}">
              <a16:creationId xmlns:a16="http://schemas.microsoft.com/office/drawing/2014/main" id="{00000000-0008-0000-0000-00003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12" name="Line 2056">
          <a:extLst>
            <a:ext uri="{FF2B5EF4-FFF2-40B4-BE49-F238E27FC236}">
              <a16:creationId xmlns:a16="http://schemas.microsoft.com/office/drawing/2014/main" id="{00000000-0008-0000-0000-00004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13" name="Line 2057">
          <a:extLst>
            <a:ext uri="{FF2B5EF4-FFF2-40B4-BE49-F238E27FC236}">
              <a16:creationId xmlns:a16="http://schemas.microsoft.com/office/drawing/2014/main" id="{00000000-0008-0000-0000-00004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14" name="Line 2058">
          <a:extLst>
            <a:ext uri="{FF2B5EF4-FFF2-40B4-BE49-F238E27FC236}">
              <a16:creationId xmlns:a16="http://schemas.microsoft.com/office/drawing/2014/main" id="{00000000-0008-0000-0000-00004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15" name="Line 2059">
          <a:extLst>
            <a:ext uri="{FF2B5EF4-FFF2-40B4-BE49-F238E27FC236}">
              <a16:creationId xmlns:a16="http://schemas.microsoft.com/office/drawing/2014/main" id="{00000000-0008-0000-0000-00004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16" name="Line 2060">
          <a:extLst>
            <a:ext uri="{FF2B5EF4-FFF2-40B4-BE49-F238E27FC236}">
              <a16:creationId xmlns:a16="http://schemas.microsoft.com/office/drawing/2014/main" id="{00000000-0008-0000-0000-00004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17" name="Line 2061">
          <a:extLst>
            <a:ext uri="{FF2B5EF4-FFF2-40B4-BE49-F238E27FC236}">
              <a16:creationId xmlns:a16="http://schemas.microsoft.com/office/drawing/2014/main" id="{00000000-0008-0000-0000-00004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18" name="Line 2062">
          <a:extLst>
            <a:ext uri="{FF2B5EF4-FFF2-40B4-BE49-F238E27FC236}">
              <a16:creationId xmlns:a16="http://schemas.microsoft.com/office/drawing/2014/main" id="{00000000-0008-0000-0000-00004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19" name="Line 2063">
          <a:extLst>
            <a:ext uri="{FF2B5EF4-FFF2-40B4-BE49-F238E27FC236}">
              <a16:creationId xmlns:a16="http://schemas.microsoft.com/office/drawing/2014/main" id="{00000000-0008-0000-0000-00004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20" name="Line 2064">
          <a:extLst>
            <a:ext uri="{FF2B5EF4-FFF2-40B4-BE49-F238E27FC236}">
              <a16:creationId xmlns:a16="http://schemas.microsoft.com/office/drawing/2014/main" id="{00000000-0008-0000-0000-00004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21" name="Line 2065">
          <a:extLst>
            <a:ext uri="{FF2B5EF4-FFF2-40B4-BE49-F238E27FC236}">
              <a16:creationId xmlns:a16="http://schemas.microsoft.com/office/drawing/2014/main" id="{00000000-0008-0000-0000-00004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22" name="Line 2066">
          <a:extLst>
            <a:ext uri="{FF2B5EF4-FFF2-40B4-BE49-F238E27FC236}">
              <a16:creationId xmlns:a16="http://schemas.microsoft.com/office/drawing/2014/main" id="{00000000-0008-0000-0000-00004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23" name="Line 2067">
          <a:extLst>
            <a:ext uri="{FF2B5EF4-FFF2-40B4-BE49-F238E27FC236}">
              <a16:creationId xmlns:a16="http://schemas.microsoft.com/office/drawing/2014/main" id="{00000000-0008-0000-0000-00004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24" name="Line 2068">
          <a:extLst>
            <a:ext uri="{FF2B5EF4-FFF2-40B4-BE49-F238E27FC236}">
              <a16:creationId xmlns:a16="http://schemas.microsoft.com/office/drawing/2014/main" id="{00000000-0008-0000-0000-00004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25" name="Line 2069">
          <a:extLst>
            <a:ext uri="{FF2B5EF4-FFF2-40B4-BE49-F238E27FC236}">
              <a16:creationId xmlns:a16="http://schemas.microsoft.com/office/drawing/2014/main" id="{00000000-0008-0000-0000-00004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26" name="Line 2070">
          <a:extLst>
            <a:ext uri="{FF2B5EF4-FFF2-40B4-BE49-F238E27FC236}">
              <a16:creationId xmlns:a16="http://schemas.microsoft.com/office/drawing/2014/main" id="{00000000-0008-0000-0000-00004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27" name="Line 2071">
          <a:extLst>
            <a:ext uri="{FF2B5EF4-FFF2-40B4-BE49-F238E27FC236}">
              <a16:creationId xmlns:a16="http://schemas.microsoft.com/office/drawing/2014/main" id="{00000000-0008-0000-0000-00004F25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28" name="Line 2072">
          <a:extLst>
            <a:ext uri="{FF2B5EF4-FFF2-40B4-BE49-F238E27FC236}">
              <a16:creationId xmlns:a16="http://schemas.microsoft.com/office/drawing/2014/main" id="{00000000-0008-0000-0000-00005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29" name="Line 2073">
          <a:extLst>
            <a:ext uri="{FF2B5EF4-FFF2-40B4-BE49-F238E27FC236}">
              <a16:creationId xmlns:a16="http://schemas.microsoft.com/office/drawing/2014/main" id="{00000000-0008-0000-0000-00005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30" name="Line 2074">
          <a:extLst>
            <a:ext uri="{FF2B5EF4-FFF2-40B4-BE49-F238E27FC236}">
              <a16:creationId xmlns:a16="http://schemas.microsoft.com/office/drawing/2014/main" id="{00000000-0008-0000-0000-00005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31" name="Line 2075">
          <a:extLst>
            <a:ext uri="{FF2B5EF4-FFF2-40B4-BE49-F238E27FC236}">
              <a16:creationId xmlns:a16="http://schemas.microsoft.com/office/drawing/2014/main" id="{00000000-0008-0000-0000-00005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32" name="Line 2076">
          <a:extLst>
            <a:ext uri="{FF2B5EF4-FFF2-40B4-BE49-F238E27FC236}">
              <a16:creationId xmlns:a16="http://schemas.microsoft.com/office/drawing/2014/main" id="{00000000-0008-0000-0000-00005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33" name="Line 2077">
          <a:extLst>
            <a:ext uri="{FF2B5EF4-FFF2-40B4-BE49-F238E27FC236}">
              <a16:creationId xmlns:a16="http://schemas.microsoft.com/office/drawing/2014/main" id="{00000000-0008-0000-0000-00005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34" name="Line 2078">
          <a:extLst>
            <a:ext uri="{FF2B5EF4-FFF2-40B4-BE49-F238E27FC236}">
              <a16:creationId xmlns:a16="http://schemas.microsoft.com/office/drawing/2014/main" id="{00000000-0008-0000-0000-00005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35" name="Line 2079">
          <a:extLst>
            <a:ext uri="{FF2B5EF4-FFF2-40B4-BE49-F238E27FC236}">
              <a16:creationId xmlns:a16="http://schemas.microsoft.com/office/drawing/2014/main" id="{00000000-0008-0000-0000-00005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36" name="Line 2080">
          <a:extLst>
            <a:ext uri="{FF2B5EF4-FFF2-40B4-BE49-F238E27FC236}">
              <a16:creationId xmlns:a16="http://schemas.microsoft.com/office/drawing/2014/main" id="{00000000-0008-0000-0000-00005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37" name="Line 2081">
          <a:extLst>
            <a:ext uri="{FF2B5EF4-FFF2-40B4-BE49-F238E27FC236}">
              <a16:creationId xmlns:a16="http://schemas.microsoft.com/office/drawing/2014/main" id="{00000000-0008-0000-0000-00005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38" name="Line 2082">
          <a:extLst>
            <a:ext uri="{FF2B5EF4-FFF2-40B4-BE49-F238E27FC236}">
              <a16:creationId xmlns:a16="http://schemas.microsoft.com/office/drawing/2014/main" id="{00000000-0008-0000-0000-00005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39" name="Line 2083">
          <a:extLst>
            <a:ext uri="{FF2B5EF4-FFF2-40B4-BE49-F238E27FC236}">
              <a16:creationId xmlns:a16="http://schemas.microsoft.com/office/drawing/2014/main" id="{00000000-0008-0000-0000-00005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40" name="Line 2084">
          <a:extLst>
            <a:ext uri="{FF2B5EF4-FFF2-40B4-BE49-F238E27FC236}">
              <a16:creationId xmlns:a16="http://schemas.microsoft.com/office/drawing/2014/main" id="{00000000-0008-0000-0000-00005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41" name="Line 2085">
          <a:extLst>
            <a:ext uri="{FF2B5EF4-FFF2-40B4-BE49-F238E27FC236}">
              <a16:creationId xmlns:a16="http://schemas.microsoft.com/office/drawing/2014/main" id="{00000000-0008-0000-0000-00005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42" name="Line 2086">
          <a:extLst>
            <a:ext uri="{FF2B5EF4-FFF2-40B4-BE49-F238E27FC236}">
              <a16:creationId xmlns:a16="http://schemas.microsoft.com/office/drawing/2014/main" id="{00000000-0008-0000-0000-00005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43" name="Line 2087">
          <a:extLst>
            <a:ext uri="{FF2B5EF4-FFF2-40B4-BE49-F238E27FC236}">
              <a16:creationId xmlns:a16="http://schemas.microsoft.com/office/drawing/2014/main" id="{00000000-0008-0000-0000-00005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44" name="Line 2088">
          <a:extLst>
            <a:ext uri="{FF2B5EF4-FFF2-40B4-BE49-F238E27FC236}">
              <a16:creationId xmlns:a16="http://schemas.microsoft.com/office/drawing/2014/main" id="{00000000-0008-0000-0000-00006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45" name="Line 2089">
          <a:extLst>
            <a:ext uri="{FF2B5EF4-FFF2-40B4-BE49-F238E27FC236}">
              <a16:creationId xmlns:a16="http://schemas.microsoft.com/office/drawing/2014/main" id="{00000000-0008-0000-0000-00006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46" name="Line 2090">
          <a:extLst>
            <a:ext uri="{FF2B5EF4-FFF2-40B4-BE49-F238E27FC236}">
              <a16:creationId xmlns:a16="http://schemas.microsoft.com/office/drawing/2014/main" id="{00000000-0008-0000-0000-00006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47" name="Line 2091">
          <a:extLst>
            <a:ext uri="{FF2B5EF4-FFF2-40B4-BE49-F238E27FC236}">
              <a16:creationId xmlns:a16="http://schemas.microsoft.com/office/drawing/2014/main" id="{00000000-0008-0000-0000-00006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48" name="Line 2092">
          <a:extLst>
            <a:ext uri="{FF2B5EF4-FFF2-40B4-BE49-F238E27FC236}">
              <a16:creationId xmlns:a16="http://schemas.microsoft.com/office/drawing/2014/main" id="{00000000-0008-0000-0000-00006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49" name="Line 2093">
          <a:extLst>
            <a:ext uri="{FF2B5EF4-FFF2-40B4-BE49-F238E27FC236}">
              <a16:creationId xmlns:a16="http://schemas.microsoft.com/office/drawing/2014/main" id="{00000000-0008-0000-0000-00006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50" name="Line 2094">
          <a:extLst>
            <a:ext uri="{FF2B5EF4-FFF2-40B4-BE49-F238E27FC236}">
              <a16:creationId xmlns:a16="http://schemas.microsoft.com/office/drawing/2014/main" id="{00000000-0008-0000-0000-00006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51" name="Line 2095">
          <a:extLst>
            <a:ext uri="{FF2B5EF4-FFF2-40B4-BE49-F238E27FC236}">
              <a16:creationId xmlns:a16="http://schemas.microsoft.com/office/drawing/2014/main" id="{00000000-0008-0000-0000-00006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52" name="Line 2096">
          <a:extLst>
            <a:ext uri="{FF2B5EF4-FFF2-40B4-BE49-F238E27FC236}">
              <a16:creationId xmlns:a16="http://schemas.microsoft.com/office/drawing/2014/main" id="{00000000-0008-0000-0000-00006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53" name="Line 2097">
          <a:extLst>
            <a:ext uri="{FF2B5EF4-FFF2-40B4-BE49-F238E27FC236}">
              <a16:creationId xmlns:a16="http://schemas.microsoft.com/office/drawing/2014/main" id="{00000000-0008-0000-0000-00006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54" name="Line 2098">
          <a:extLst>
            <a:ext uri="{FF2B5EF4-FFF2-40B4-BE49-F238E27FC236}">
              <a16:creationId xmlns:a16="http://schemas.microsoft.com/office/drawing/2014/main" id="{00000000-0008-0000-0000-00006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55" name="Line 2099">
          <a:extLst>
            <a:ext uri="{FF2B5EF4-FFF2-40B4-BE49-F238E27FC236}">
              <a16:creationId xmlns:a16="http://schemas.microsoft.com/office/drawing/2014/main" id="{00000000-0008-0000-0000-00006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56" name="Line 2100">
          <a:extLst>
            <a:ext uri="{FF2B5EF4-FFF2-40B4-BE49-F238E27FC236}">
              <a16:creationId xmlns:a16="http://schemas.microsoft.com/office/drawing/2014/main" id="{00000000-0008-0000-0000-00006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57" name="Line 2101">
          <a:extLst>
            <a:ext uri="{FF2B5EF4-FFF2-40B4-BE49-F238E27FC236}">
              <a16:creationId xmlns:a16="http://schemas.microsoft.com/office/drawing/2014/main" id="{00000000-0008-0000-0000-00006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58" name="Line 2102">
          <a:extLst>
            <a:ext uri="{FF2B5EF4-FFF2-40B4-BE49-F238E27FC236}">
              <a16:creationId xmlns:a16="http://schemas.microsoft.com/office/drawing/2014/main" id="{00000000-0008-0000-0000-00006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59" name="Line 2103">
          <a:extLst>
            <a:ext uri="{FF2B5EF4-FFF2-40B4-BE49-F238E27FC236}">
              <a16:creationId xmlns:a16="http://schemas.microsoft.com/office/drawing/2014/main" id="{00000000-0008-0000-0000-00006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60" name="Line 2104">
          <a:extLst>
            <a:ext uri="{FF2B5EF4-FFF2-40B4-BE49-F238E27FC236}">
              <a16:creationId xmlns:a16="http://schemas.microsoft.com/office/drawing/2014/main" id="{00000000-0008-0000-0000-00007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61" name="Line 2105">
          <a:extLst>
            <a:ext uri="{FF2B5EF4-FFF2-40B4-BE49-F238E27FC236}">
              <a16:creationId xmlns:a16="http://schemas.microsoft.com/office/drawing/2014/main" id="{00000000-0008-0000-0000-00007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62" name="Line 2106">
          <a:extLst>
            <a:ext uri="{FF2B5EF4-FFF2-40B4-BE49-F238E27FC236}">
              <a16:creationId xmlns:a16="http://schemas.microsoft.com/office/drawing/2014/main" id="{00000000-0008-0000-0000-00007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63" name="Line 2107">
          <a:extLst>
            <a:ext uri="{FF2B5EF4-FFF2-40B4-BE49-F238E27FC236}">
              <a16:creationId xmlns:a16="http://schemas.microsoft.com/office/drawing/2014/main" id="{00000000-0008-0000-0000-00007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64" name="Line 2108">
          <a:extLst>
            <a:ext uri="{FF2B5EF4-FFF2-40B4-BE49-F238E27FC236}">
              <a16:creationId xmlns:a16="http://schemas.microsoft.com/office/drawing/2014/main" id="{00000000-0008-0000-0000-00007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65" name="Line 2109">
          <a:extLst>
            <a:ext uri="{FF2B5EF4-FFF2-40B4-BE49-F238E27FC236}">
              <a16:creationId xmlns:a16="http://schemas.microsoft.com/office/drawing/2014/main" id="{00000000-0008-0000-0000-00007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66" name="Line 2110">
          <a:extLst>
            <a:ext uri="{FF2B5EF4-FFF2-40B4-BE49-F238E27FC236}">
              <a16:creationId xmlns:a16="http://schemas.microsoft.com/office/drawing/2014/main" id="{00000000-0008-0000-0000-00007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67" name="Line 2111">
          <a:extLst>
            <a:ext uri="{FF2B5EF4-FFF2-40B4-BE49-F238E27FC236}">
              <a16:creationId xmlns:a16="http://schemas.microsoft.com/office/drawing/2014/main" id="{00000000-0008-0000-0000-00007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68" name="Line 2112">
          <a:extLst>
            <a:ext uri="{FF2B5EF4-FFF2-40B4-BE49-F238E27FC236}">
              <a16:creationId xmlns:a16="http://schemas.microsoft.com/office/drawing/2014/main" id="{00000000-0008-0000-0000-00007825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69" name="Line 2113">
          <a:extLst>
            <a:ext uri="{FF2B5EF4-FFF2-40B4-BE49-F238E27FC236}">
              <a16:creationId xmlns:a16="http://schemas.microsoft.com/office/drawing/2014/main" id="{00000000-0008-0000-0000-00007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70" name="Line 2114">
          <a:extLst>
            <a:ext uri="{FF2B5EF4-FFF2-40B4-BE49-F238E27FC236}">
              <a16:creationId xmlns:a16="http://schemas.microsoft.com/office/drawing/2014/main" id="{00000000-0008-0000-0000-00007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71" name="Line 2115">
          <a:extLst>
            <a:ext uri="{FF2B5EF4-FFF2-40B4-BE49-F238E27FC236}">
              <a16:creationId xmlns:a16="http://schemas.microsoft.com/office/drawing/2014/main" id="{00000000-0008-0000-0000-00007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72" name="Line 2116">
          <a:extLst>
            <a:ext uri="{FF2B5EF4-FFF2-40B4-BE49-F238E27FC236}">
              <a16:creationId xmlns:a16="http://schemas.microsoft.com/office/drawing/2014/main" id="{00000000-0008-0000-0000-00007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73" name="Line 2117">
          <a:extLst>
            <a:ext uri="{FF2B5EF4-FFF2-40B4-BE49-F238E27FC236}">
              <a16:creationId xmlns:a16="http://schemas.microsoft.com/office/drawing/2014/main" id="{00000000-0008-0000-0000-00007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74" name="Line 2118">
          <a:extLst>
            <a:ext uri="{FF2B5EF4-FFF2-40B4-BE49-F238E27FC236}">
              <a16:creationId xmlns:a16="http://schemas.microsoft.com/office/drawing/2014/main" id="{00000000-0008-0000-0000-00007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75" name="Line 2119">
          <a:extLst>
            <a:ext uri="{FF2B5EF4-FFF2-40B4-BE49-F238E27FC236}">
              <a16:creationId xmlns:a16="http://schemas.microsoft.com/office/drawing/2014/main" id="{00000000-0008-0000-0000-00007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76" name="Line 2120">
          <a:extLst>
            <a:ext uri="{FF2B5EF4-FFF2-40B4-BE49-F238E27FC236}">
              <a16:creationId xmlns:a16="http://schemas.microsoft.com/office/drawing/2014/main" id="{00000000-0008-0000-0000-00008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77" name="Line 2121">
          <a:extLst>
            <a:ext uri="{FF2B5EF4-FFF2-40B4-BE49-F238E27FC236}">
              <a16:creationId xmlns:a16="http://schemas.microsoft.com/office/drawing/2014/main" id="{00000000-0008-0000-0000-00008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78" name="Line 2122">
          <a:extLst>
            <a:ext uri="{FF2B5EF4-FFF2-40B4-BE49-F238E27FC236}">
              <a16:creationId xmlns:a16="http://schemas.microsoft.com/office/drawing/2014/main" id="{00000000-0008-0000-0000-00008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79" name="Line 2123">
          <a:extLst>
            <a:ext uri="{FF2B5EF4-FFF2-40B4-BE49-F238E27FC236}">
              <a16:creationId xmlns:a16="http://schemas.microsoft.com/office/drawing/2014/main" id="{00000000-0008-0000-0000-00008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80" name="Line 2124">
          <a:extLst>
            <a:ext uri="{FF2B5EF4-FFF2-40B4-BE49-F238E27FC236}">
              <a16:creationId xmlns:a16="http://schemas.microsoft.com/office/drawing/2014/main" id="{00000000-0008-0000-0000-00008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81" name="Line 2125">
          <a:extLst>
            <a:ext uri="{FF2B5EF4-FFF2-40B4-BE49-F238E27FC236}">
              <a16:creationId xmlns:a16="http://schemas.microsoft.com/office/drawing/2014/main" id="{00000000-0008-0000-0000-00008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82" name="Line 2126">
          <a:extLst>
            <a:ext uri="{FF2B5EF4-FFF2-40B4-BE49-F238E27FC236}">
              <a16:creationId xmlns:a16="http://schemas.microsoft.com/office/drawing/2014/main" id="{00000000-0008-0000-0000-00008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83" name="Line 2127">
          <a:extLst>
            <a:ext uri="{FF2B5EF4-FFF2-40B4-BE49-F238E27FC236}">
              <a16:creationId xmlns:a16="http://schemas.microsoft.com/office/drawing/2014/main" id="{00000000-0008-0000-0000-00008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84" name="Line 2128">
          <a:extLst>
            <a:ext uri="{FF2B5EF4-FFF2-40B4-BE49-F238E27FC236}">
              <a16:creationId xmlns:a16="http://schemas.microsoft.com/office/drawing/2014/main" id="{00000000-0008-0000-0000-00008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85" name="Line 2129">
          <a:extLst>
            <a:ext uri="{FF2B5EF4-FFF2-40B4-BE49-F238E27FC236}">
              <a16:creationId xmlns:a16="http://schemas.microsoft.com/office/drawing/2014/main" id="{00000000-0008-0000-0000-00008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86" name="Line 2130">
          <a:extLst>
            <a:ext uri="{FF2B5EF4-FFF2-40B4-BE49-F238E27FC236}">
              <a16:creationId xmlns:a16="http://schemas.microsoft.com/office/drawing/2014/main" id="{00000000-0008-0000-0000-00008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87" name="Line 2131">
          <a:extLst>
            <a:ext uri="{FF2B5EF4-FFF2-40B4-BE49-F238E27FC236}">
              <a16:creationId xmlns:a16="http://schemas.microsoft.com/office/drawing/2014/main" id="{00000000-0008-0000-0000-00008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88" name="Line 2132">
          <a:extLst>
            <a:ext uri="{FF2B5EF4-FFF2-40B4-BE49-F238E27FC236}">
              <a16:creationId xmlns:a16="http://schemas.microsoft.com/office/drawing/2014/main" id="{00000000-0008-0000-0000-00008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89" name="Line 2133">
          <a:extLst>
            <a:ext uri="{FF2B5EF4-FFF2-40B4-BE49-F238E27FC236}">
              <a16:creationId xmlns:a16="http://schemas.microsoft.com/office/drawing/2014/main" id="{00000000-0008-0000-0000-00008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90" name="Line 2134">
          <a:extLst>
            <a:ext uri="{FF2B5EF4-FFF2-40B4-BE49-F238E27FC236}">
              <a16:creationId xmlns:a16="http://schemas.microsoft.com/office/drawing/2014/main" id="{00000000-0008-0000-0000-00008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91" name="Line 2135">
          <a:extLst>
            <a:ext uri="{FF2B5EF4-FFF2-40B4-BE49-F238E27FC236}">
              <a16:creationId xmlns:a16="http://schemas.microsoft.com/office/drawing/2014/main" id="{00000000-0008-0000-0000-00008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92" name="Line 2136">
          <a:extLst>
            <a:ext uri="{FF2B5EF4-FFF2-40B4-BE49-F238E27FC236}">
              <a16:creationId xmlns:a16="http://schemas.microsoft.com/office/drawing/2014/main" id="{00000000-0008-0000-0000-00009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93" name="Line 2137">
          <a:extLst>
            <a:ext uri="{FF2B5EF4-FFF2-40B4-BE49-F238E27FC236}">
              <a16:creationId xmlns:a16="http://schemas.microsoft.com/office/drawing/2014/main" id="{00000000-0008-0000-0000-00009125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94" name="Line 2138">
          <a:extLst>
            <a:ext uri="{FF2B5EF4-FFF2-40B4-BE49-F238E27FC236}">
              <a16:creationId xmlns:a16="http://schemas.microsoft.com/office/drawing/2014/main" id="{00000000-0008-0000-0000-00009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95" name="Line 2139">
          <a:extLst>
            <a:ext uri="{FF2B5EF4-FFF2-40B4-BE49-F238E27FC236}">
              <a16:creationId xmlns:a16="http://schemas.microsoft.com/office/drawing/2014/main" id="{00000000-0008-0000-0000-00009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96" name="Line 2140">
          <a:extLst>
            <a:ext uri="{FF2B5EF4-FFF2-40B4-BE49-F238E27FC236}">
              <a16:creationId xmlns:a16="http://schemas.microsoft.com/office/drawing/2014/main" id="{00000000-0008-0000-0000-00009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97" name="Line 2141">
          <a:extLst>
            <a:ext uri="{FF2B5EF4-FFF2-40B4-BE49-F238E27FC236}">
              <a16:creationId xmlns:a16="http://schemas.microsoft.com/office/drawing/2014/main" id="{00000000-0008-0000-0000-00009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598" name="Line 2142">
          <a:extLst>
            <a:ext uri="{FF2B5EF4-FFF2-40B4-BE49-F238E27FC236}">
              <a16:creationId xmlns:a16="http://schemas.microsoft.com/office/drawing/2014/main" id="{00000000-0008-0000-0000-00009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599" name="Line 2143">
          <a:extLst>
            <a:ext uri="{FF2B5EF4-FFF2-40B4-BE49-F238E27FC236}">
              <a16:creationId xmlns:a16="http://schemas.microsoft.com/office/drawing/2014/main" id="{00000000-0008-0000-0000-00009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00" name="Line 2144">
          <a:extLst>
            <a:ext uri="{FF2B5EF4-FFF2-40B4-BE49-F238E27FC236}">
              <a16:creationId xmlns:a16="http://schemas.microsoft.com/office/drawing/2014/main" id="{00000000-0008-0000-0000-00009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01" name="Line 2145">
          <a:extLst>
            <a:ext uri="{FF2B5EF4-FFF2-40B4-BE49-F238E27FC236}">
              <a16:creationId xmlns:a16="http://schemas.microsoft.com/office/drawing/2014/main" id="{00000000-0008-0000-0000-00009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02" name="Line 2146">
          <a:extLst>
            <a:ext uri="{FF2B5EF4-FFF2-40B4-BE49-F238E27FC236}">
              <a16:creationId xmlns:a16="http://schemas.microsoft.com/office/drawing/2014/main" id="{00000000-0008-0000-0000-00009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03" name="Line 2147">
          <a:extLst>
            <a:ext uri="{FF2B5EF4-FFF2-40B4-BE49-F238E27FC236}">
              <a16:creationId xmlns:a16="http://schemas.microsoft.com/office/drawing/2014/main" id="{00000000-0008-0000-0000-00009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04" name="Line 2148">
          <a:extLst>
            <a:ext uri="{FF2B5EF4-FFF2-40B4-BE49-F238E27FC236}">
              <a16:creationId xmlns:a16="http://schemas.microsoft.com/office/drawing/2014/main" id="{00000000-0008-0000-0000-00009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05" name="Line 2149">
          <a:extLst>
            <a:ext uri="{FF2B5EF4-FFF2-40B4-BE49-F238E27FC236}">
              <a16:creationId xmlns:a16="http://schemas.microsoft.com/office/drawing/2014/main" id="{00000000-0008-0000-0000-00009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06" name="Line 2150">
          <a:extLst>
            <a:ext uri="{FF2B5EF4-FFF2-40B4-BE49-F238E27FC236}">
              <a16:creationId xmlns:a16="http://schemas.microsoft.com/office/drawing/2014/main" id="{00000000-0008-0000-0000-00009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07" name="Line 2151">
          <a:extLst>
            <a:ext uri="{FF2B5EF4-FFF2-40B4-BE49-F238E27FC236}">
              <a16:creationId xmlns:a16="http://schemas.microsoft.com/office/drawing/2014/main" id="{00000000-0008-0000-0000-00009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08" name="Line 2152">
          <a:extLst>
            <a:ext uri="{FF2B5EF4-FFF2-40B4-BE49-F238E27FC236}">
              <a16:creationId xmlns:a16="http://schemas.microsoft.com/office/drawing/2014/main" id="{00000000-0008-0000-0000-0000A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09" name="Line 2153">
          <a:extLst>
            <a:ext uri="{FF2B5EF4-FFF2-40B4-BE49-F238E27FC236}">
              <a16:creationId xmlns:a16="http://schemas.microsoft.com/office/drawing/2014/main" id="{00000000-0008-0000-0000-0000A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10" name="Line 2154">
          <a:extLst>
            <a:ext uri="{FF2B5EF4-FFF2-40B4-BE49-F238E27FC236}">
              <a16:creationId xmlns:a16="http://schemas.microsoft.com/office/drawing/2014/main" id="{00000000-0008-0000-0000-0000A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11" name="Line 2155">
          <a:extLst>
            <a:ext uri="{FF2B5EF4-FFF2-40B4-BE49-F238E27FC236}">
              <a16:creationId xmlns:a16="http://schemas.microsoft.com/office/drawing/2014/main" id="{00000000-0008-0000-0000-0000A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12" name="Line 2156">
          <a:extLst>
            <a:ext uri="{FF2B5EF4-FFF2-40B4-BE49-F238E27FC236}">
              <a16:creationId xmlns:a16="http://schemas.microsoft.com/office/drawing/2014/main" id="{00000000-0008-0000-0000-0000A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13" name="Line 2157">
          <a:extLst>
            <a:ext uri="{FF2B5EF4-FFF2-40B4-BE49-F238E27FC236}">
              <a16:creationId xmlns:a16="http://schemas.microsoft.com/office/drawing/2014/main" id="{00000000-0008-0000-0000-0000A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14" name="Line 2158">
          <a:extLst>
            <a:ext uri="{FF2B5EF4-FFF2-40B4-BE49-F238E27FC236}">
              <a16:creationId xmlns:a16="http://schemas.microsoft.com/office/drawing/2014/main" id="{00000000-0008-0000-0000-0000A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15" name="Line 2159">
          <a:extLst>
            <a:ext uri="{FF2B5EF4-FFF2-40B4-BE49-F238E27FC236}">
              <a16:creationId xmlns:a16="http://schemas.microsoft.com/office/drawing/2014/main" id="{00000000-0008-0000-0000-0000A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16" name="Line 2160">
          <a:extLst>
            <a:ext uri="{FF2B5EF4-FFF2-40B4-BE49-F238E27FC236}">
              <a16:creationId xmlns:a16="http://schemas.microsoft.com/office/drawing/2014/main" id="{00000000-0008-0000-0000-0000A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17" name="Line 2161">
          <a:extLst>
            <a:ext uri="{FF2B5EF4-FFF2-40B4-BE49-F238E27FC236}">
              <a16:creationId xmlns:a16="http://schemas.microsoft.com/office/drawing/2014/main" id="{00000000-0008-0000-0000-0000A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18" name="Line 2162">
          <a:extLst>
            <a:ext uri="{FF2B5EF4-FFF2-40B4-BE49-F238E27FC236}">
              <a16:creationId xmlns:a16="http://schemas.microsoft.com/office/drawing/2014/main" id="{00000000-0008-0000-0000-0000A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19" name="Line 2163">
          <a:extLst>
            <a:ext uri="{FF2B5EF4-FFF2-40B4-BE49-F238E27FC236}">
              <a16:creationId xmlns:a16="http://schemas.microsoft.com/office/drawing/2014/main" id="{00000000-0008-0000-0000-0000A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20" name="Line 2164">
          <a:extLst>
            <a:ext uri="{FF2B5EF4-FFF2-40B4-BE49-F238E27FC236}">
              <a16:creationId xmlns:a16="http://schemas.microsoft.com/office/drawing/2014/main" id="{00000000-0008-0000-0000-0000A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21" name="Line 2165">
          <a:extLst>
            <a:ext uri="{FF2B5EF4-FFF2-40B4-BE49-F238E27FC236}">
              <a16:creationId xmlns:a16="http://schemas.microsoft.com/office/drawing/2014/main" id="{00000000-0008-0000-0000-0000A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22" name="Line 2166">
          <a:extLst>
            <a:ext uri="{FF2B5EF4-FFF2-40B4-BE49-F238E27FC236}">
              <a16:creationId xmlns:a16="http://schemas.microsoft.com/office/drawing/2014/main" id="{00000000-0008-0000-0000-0000A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23" name="Line 2167">
          <a:extLst>
            <a:ext uri="{FF2B5EF4-FFF2-40B4-BE49-F238E27FC236}">
              <a16:creationId xmlns:a16="http://schemas.microsoft.com/office/drawing/2014/main" id="{00000000-0008-0000-0000-0000A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24" name="Line 2168">
          <a:extLst>
            <a:ext uri="{FF2B5EF4-FFF2-40B4-BE49-F238E27FC236}">
              <a16:creationId xmlns:a16="http://schemas.microsoft.com/office/drawing/2014/main" id="{00000000-0008-0000-0000-0000B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25" name="Line 2169">
          <a:extLst>
            <a:ext uri="{FF2B5EF4-FFF2-40B4-BE49-F238E27FC236}">
              <a16:creationId xmlns:a16="http://schemas.microsoft.com/office/drawing/2014/main" id="{00000000-0008-0000-0000-0000B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26" name="Line 2170">
          <a:extLst>
            <a:ext uri="{FF2B5EF4-FFF2-40B4-BE49-F238E27FC236}">
              <a16:creationId xmlns:a16="http://schemas.microsoft.com/office/drawing/2014/main" id="{00000000-0008-0000-0000-0000B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27" name="Line 2171">
          <a:extLst>
            <a:ext uri="{FF2B5EF4-FFF2-40B4-BE49-F238E27FC236}">
              <a16:creationId xmlns:a16="http://schemas.microsoft.com/office/drawing/2014/main" id="{00000000-0008-0000-0000-0000B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28" name="Line 2172">
          <a:extLst>
            <a:ext uri="{FF2B5EF4-FFF2-40B4-BE49-F238E27FC236}">
              <a16:creationId xmlns:a16="http://schemas.microsoft.com/office/drawing/2014/main" id="{00000000-0008-0000-0000-0000B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29" name="Line 2173">
          <a:extLst>
            <a:ext uri="{FF2B5EF4-FFF2-40B4-BE49-F238E27FC236}">
              <a16:creationId xmlns:a16="http://schemas.microsoft.com/office/drawing/2014/main" id="{00000000-0008-0000-0000-0000B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30" name="Line 2174">
          <a:extLst>
            <a:ext uri="{FF2B5EF4-FFF2-40B4-BE49-F238E27FC236}">
              <a16:creationId xmlns:a16="http://schemas.microsoft.com/office/drawing/2014/main" id="{00000000-0008-0000-0000-0000B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31" name="Line 2175">
          <a:extLst>
            <a:ext uri="{FF2B5EF4-FFF2-40B4-BE49-F238E27FC236}">
              <a16:creationId xmlns:a16="http://schemas.microsoft.com/office/drawing/2014/main" id="{00000000-0008-0000-0000-0000B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32" name="Line 2176">
          <a:extLst>
            <a:ext uri="{FF2B5EF4-FFF2-40B4-BE49-F238E27FC236}">
              <a16:creationId xmlns:a16="http://schemas.microsoft.com/office/drawing/2014/main" id="{00000000-0008-0000-0000-0000B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33" name="Line 2177">
          <a:extLst>
            <a:ext uri="{FF2B5EF4-FFF2-40B4-BE49-F238E27FC236}">
              <a16:creationId xmlns:a16="http://schemas.microsoft.com/office/drawing/2014/main" id="{00000000-0008-0000-0000-0000B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34" name="Line 2178">
          <a:extLst>
            <a:ext uri="{FF2B5EF4-FFF2-40B4-BE49-F238E27FC236}">
              <a16:creationId xmlns:a16="http://schemas.microsoft.com/office/drawing/2014/main" id="{00000000-0008-0000-0000-0000BA25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35" name="Line 2179">
          <a:extLst>
            <a:ext uri="{FF2B5EF4-FFF2-40B4-BE49-F238E27FC236}">
              <a16:creationId xmlns:a16="http://schemas.microsoft.com/office/drawing/2014/main" id="{00000000-0008-0000-0000-0000B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36" name="Line 2180">
          <a:extLst>
            <a:ext uri="{FF2B5EF4-FFF2-40B4-BE49-F238E27FC236}">
              <a16:creationId xmlns:a16="http://schemas.microsoft.com/office/drawing/2014/main" id="{00000000-0008-0000-0000-0000B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37" name="Line 2181">
          <a:extLst>
            <a:ext uri="{FF2B5EF4-FFF2-40B4-BE49-F238E27FC236}">
              <a16:creationId xmlns:a16="http://schemas.microsoft.com/office/drawing/2014/main" id="{00000000-0008-0000-0000-0000B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38" name="Line 2182">
          <a:extLst>
            <a:ext uri="{FF2B5EF4-FFF2-40B4-BE49-F238E27FC236}">
              <a16:creationId xmlns:a16="http://schemas.microsoft.com/office/drawing/2014/main" id="{00000000-0008-0000-0000-0000B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39" name="Line 2183">
          <a:extLst>
            <a:ext uri="{FF2B5EF4-FFF2-40B4-BE49-F238E27FC236}">
              <a16:creationId xmlns:a16="http://schemas.microsoft.com/office/drawing/2014/main" id="{00000000-0008-0000-0000-0000B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40" name="Line 2184">
          <a:extLst>
            <a:ext uri="{FF2B5EF4-FFF2-40B4-BE49-F238E27FC236}">
              <a16:creationId xmlns:a16="http://schemas.microsoft.com/office/drawing/2014/main" id="{00000000-0008-0000-0000-0000C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41" name="Line 2185">
          <a:extLst>
            <a:ext uri="{FF2B5EF4-FFF2-40B4-BE49-F238E27FC236}">
              <a16:creationId xmlns:a16="http://schemas.microsoft.com/office/drawing/2014/main" id="{00000000-0008-0000-0000-0000C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42" name="Line 2186">
          <a:extLst>
            <a:ext uri="{FF2B5EF4-FFF2-40B4-BE49-F238E27FC236}">
              <a16:creationId xmlns:a16="http://schemas.microsoft.com/office/drawing/2014/main" id="{00000000-0008-0000-0000-0000C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43" name="Line 2187">
          <a:extLst>
            <a:ext uri="{FF2B5EF4-FFF2-40B4-BE49-F238E27FC236}">
              <a16:creationId xmlns:a16="http://schemas.microsoft.com/office/drawing/2014/main" id="{00000000-0008-0000-0000-0000C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44" name="Line 2188">
          <a:extLst>
            <a:ext uri="{FF2B5EF4-FFF2-40B4-BE49-F238E27FC236}">
              <a16:creationId xmlns:a16="http://schemas.microsoft.com/office/drawing/2014/main" id="{00000000-0008-0000-0000-0000C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45" name="Line 2189">
          <a:extLst>
            <a:ext uri="{FF2B5EF4-FFF2-40B4-BE49-F238E27FC236}">
              <a16:creationId xmlns:a16="http://schemas.microsoft.com/office/drawing/2014/main" id="{00000000-0008-0000-0000-0000C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46" name="Line 2190">
          <a:extLst>
            <a:ext uri="{FF2B5EF4-FFF2-40B4-BE49-F238E27FC236}">
              <a16:creationId xmlns:a16="http://schemas.microsoft.com/office/drawing/2014/main" id="{00000000-0008-0000-0000-0000C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47" name="Line 2191">
          <a:extLst>
            <a:ext uri="{FF2B5EF4-FFF2-40B4-BE49-F238E27FC236}">
              <a16:creationId xmlns:a16="http://schemas.microsoft.com/office/drawing/2014/main" id="{00000000-0008-0000-0000-0000C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48" name="Line 2192">
          <a:extLst>
            <a:ext uri="{FF2B5EF4-FFF2-40B4-BE49-F238E27FC236}">
              <a16:creationId xmlns:a16="http://schemas.microsoft.com/office/drawing/2014/main" id="{00000000-0008-0000-0000-0000C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49" name="Line 2193">
          <a:extLst>
            <a:ext uri="{FF2B5EF4-FFF2-40B4-BE49-F238E27FC236}">
              <a16:creationId xmlns:a16="http://schemas.microsoft.com/office/drawing/2014/main" id="{00000000-0008-0000-0000-0000C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50" name="Line 2194">
          <a:extLst>
            <a:ext uri="{FF2B5EF4-FFF2-40B4-BE49-F238E27FC236}">
              <a16:creationId xmlns:a16="http://schemas.microsoft.com/office/drawing/2014/main" id="{00000000-0008-0000-0000-0000C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51" name="Line 2195">
          <a:extLst>
            <a:ext uri="{FF2B5EF4-FFF2-40B4-BE49-F238E27FC236}">
              <a16:creationId xmlns:a16="http://schemas.microsoft.com/office/drawing/2014/main" id="{00000000-0008-0000-0000-0000C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52" name="Line 2196">
          <a:extLst>
            <a:ext uri="{FF2B5EF4-FFF2-40B4-BE49-F238E27FC236}">
              <a16:creationId xmlns:a16="http://schemas.microsoft.com/office/drawing/2014/main" id="{00000000-0008-0000-0000-0000C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53" name="Line 2197">
          <a:extLst>
            <a:ext uri="{FF2B5EF4-FFF2-40B4-BE49-F238E27FC236}">
              <a16:creationId xmlns:a16="http://schemas.microsoft.com/office/drawing/2014/main" id="{00000000-0008-0000-0000-0000C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54" name="Line 2198">
          <a:extLst>
            <a:ext uri="{FF2B5EF4-FFF2-40B4-BE49-F238E27FC236}">
              <a16:creationId xmlns:a16="http://schemas.microsoft.com/office/drawing/2014/main" id="{00000000-0008-0000-0000-0000C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55" name="Line 2199">
          <a:extLst>
            <a:ext uri="{FF2B5EF4-FFF2-40B4-BE49-F238E27FC236}">
              <a16:creationId xmlns:a16="http://schemas.microsoft.com/office/drawing/2014/main" id="{00000000-0008-0000-0000-0000C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56" name="Line 2200">
          <a:extLst>
            <a:ext uri="{FF2B5EF4-FFF2-40B4-BE49-F238E27FC236}">
              <a16:creationId xmlns:a16="http://schemas.microsoft.com/office/drawing/2014/main" id="{00000000-0008-0000-0000-0000D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57" name="Line 2201">
          <a:extLst>
            <a:ext uri="{FF2B5EF4-FFF2-40B4-BE49-F238E27FC236}">
              <a16:creationId xmlns:a16="http://schemas.microsoft.com/office/drawing/2014/main" id="{00000000-0008-0000-0000-0000D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58" name="Line 2202">
          <a:extLst>
            <a:ext uri="{FF2B5EF4-FFF2-40B4-BE49-F238E27FC236}">
              <a16:creationId xmlns:a16="http://schemas.microsoft.com/office/drawing/2014/main" id="{00000000-0008-0000-0000-0000D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59" name="Line 2203">
          <a:extLst>
            <a:ext uri="{FF2B5EF4-FFF2-40B4-BE49-F238E27FC236}">
              <a16:creationId xmlns:a16="http://schemas.microsoft.com/office/drawing/2014/main" id="{00000000-0008-0000-0000-0000D325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60" name="Line 2204">
          <a:extLst>
            <a:ext uri="{FF2B5EF4-FFF2-40B4-BE49-F238E27FC236}">
              <a16:creationId xmlns:a16="http://schemas.microsoft.com/office/drawing/2014/main" id="{00000000-0008-0000-0000-0000D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61" name="Line 2205">
          <a:extLst>
            <a:ext uri="{FF2B5EF4-FFF2-40B4-BE49-F238E27FC236}">
              <a16:creationId xmlns:a16="http://schemas.microsoft.com/office/drawing/2014/main" id="{00000000-0008-0000-0000-0000D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62" name="Line 2206">
          <a:extLst>
            <a:ext uri="{FF2B5EF4-FFF2-40B4-BE49-F238E27FC236}">
              <a16:creationId xmlns:a16="http://schemas.microsoft.com/office/drawing/2014/main" id="{00000000-0008-0000-0000-0000D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63" name="Line 2207">
          <a:extLst>
            <a:ext uri="{FF2B5EF4-FFF2-40B4-BE49-F238E27FC236}">
              <a16:creationId xmlns:a16="http://schemas.microsoft.com/office/drawing/2014/main" id="{00000000-0008-0000-0000-0000D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64" name="Line 2208">
          <a:extLst>
            <a:ext uri="{FF2B5EF4-FFF2-40B4-BE49-F238E27FC236}">
              <a16:creationId xmlns:a16="http://schemas.microsoft.com/office/drawing/2014/main" id="{00000000-0008-0000-0000-0000D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65" name="Line 2209">
          <a:extLst>
            <a:ext uri="{FF2B5EF4-FFF2-40B4-BE49-F238E27FC236}">
              <a16:creationId xmlns:a16="http://schemas.microsoft.com/office/drawing/2014/main" id="{00000000-0008-0000-0000-0000D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66" name="Line 2210">
          <a:extLst>
            <a:ext uri="{FF2B5EF4-FFF2-40B4-BE49-F238E27FC236}">
              <a16:creationId xmlns:a16="http://schemas.microsoft.com/office/drawing/2014/main" id="{00000000-0008-0000-0000-0000D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67" name="Line 2211">
          <a:extLst>
            <a:ext uri="{FF2B5EF4-FFF2-40B4-BE49-F238E27FC236}">
              <a16:creationId xmlns:a16="http://schemas.microsoft.com/office/drawing/2014/main" id="{00000000-0008-0000-0000-0000D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68" name="Line 2212">
          <a:extLst>
            <a:ext uri="{FF2B5EF4-FFF2-40B4-BE49-F238E27FC236}">
              <a16:creationId xmlns:a16="http://schemas.microsoft.com/office/drawing/2014/main" id="{00000000-0008-0000-0000-0000D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69" name="Line 2213">
          <a:extLst>
            <a:ext uri="{FF2B5EF4-FFF2-40B4-BE49-F238E27FC236}">
              <a16:creationId xmlns:a16="http://schemas.microsoft.com/office/drawing/2014/main" id="{00000000-0008-0000-0000-0000D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70" name="Line 2214">
          <a:extLst>
            <a:ext uri="{FF2B5EF4-FFF2-40B4-BE49-F238E27FC236}">
              <a16:creationId xmlns:a16="http://schemas.microsoft.com/office/drawing/2014/main" id="{00000000-0008-0000-0000-0000D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71" name="Line 2215">
          <a:extLst>
            <a:ext uri="{FF2B5EF4-FFF2-40B4-BE49-F238E27FC236}">
              <a16:creationId xmlns:a16="http://schemas.microsoft.com/office/drawing/2014/main" id="{00000000-0008-0000-0000-0000D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72" name="Line 2216">
          <a:extLst>
            <a:ext uri="{FF2B5EF4-FFF2-40B4-BE49-F238E27FC236}">
              <a16:creationId xmlns:a16="http://schemas.microsoft.com/office/drawing/2014/main" id="{00000000-0008-0000-0000-0000E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73" name="Line 2217">
          <a:extLst>
            <a:ext uri="{FF2B5EF4-FFF2-40B4-BE49-F238E27FC236}">
              <a16:creationId xmlns:a16="http://schemas.microsoft.com/office/drawing/2014/main" id="{00000000-0008-0000-0000-0000E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74" name="Line 2218">
          <a:extLst>
            <a:ext uri="{FF2B5EF4-FFF2-40B4-BE49-F238E27FC236}">
              <a16:creationId xmlns:a16="http://schemas.microsoft.com/office/drawing/2014/main" id="{00000000-0008-0000-0000-0000E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75" name="Line 2219">
          <a:extLst>
            <a:ext uri="{FF2B5EF4-FFF2-40B4-BE49-F238E27FC236}">
              <a16:creationId xmlns:a16="http://schemas.microsoft.com/office/drawing/2014/main" id="{00000000-0008-0000-0000-0000E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76" name="Line 2220">
          <a:extLst>
            <a:ext uri="{FF2B5EF4-FFF2-40B4-BE49-F238E27FC236}">
              <a16:creationId xmlns:a16="http://schemas.microsoft.com/office/drawing/2014/main" id="{00000000-0008-0000-0000-0000E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77" name="Line 2221">
          <a:extLst>
            <a:ext uri="{FF2B5EF4-FFF2-40B4-BE49-F238E27FC236}">
              <a16:creationId xmlns:a16="http://schemas.microsoft.com/office/drawing/2014/main" id="{00000000-0008-0000-0000-0000E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78" name="Line 2222">
          <a:extLst>
            <a:ext uri="{FF2B5EF4-FFF2-40B4-BE49-F238E27FC236}">
              <a16:creationId xmlns:a16="http://schemas.microsoft.com/office/drawing/2014/main" id="{00000000-0008-0000-0000-0000E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79" name="Line 2223">
          <a:extLst>
            <a:ext uri="{FF2B5EF4-FFF2-40B4-BE49-F238E27FC236}">
              <a16:creationId xmlns:a16="http://schemas.microsoft.com/office/drawing/2014/main" id="{00000000-0008-0000-0000-0000E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80" name="Line 2224">
          <a:extLst>
            <a:ext uri="{FF2B5EF4-FFF2-40B4-BE49-F238E27FC236}">
              <a16:creationId xmlns:a16="http://schemas.microsoft.com/office/drawing/2014/main" id="{00000000-0008-0000-0000-0000E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81" name="Line 2225">
          <a:extLst>
            <a:ext uri="{FF2B5EF4-FFF2-40B4-BE49-F238E27FC236}">
              <a16:creationId xmlns:a16="http://schemas.microsoft.com/office/drawing/2014/main" id="{00000000-0008-0000-0000-0000E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82" name="Line 2226">
          <a:extLst>
            <a:ext uri="{FF2B5EF4-FFF2-40B4-BE49-F238E27FC236}">
              <a16:creationId xmlns:a16="http://schemas.microsoft.com/office/drawing/2014/main" id="{00000000-0008-0000-0000-0000E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83" name="Line 2227">
          <a:extLst>
            <a:ext uri="{FF2B5EF4-FFF2-40B4-BE49-F238E27FC236}">
              <a16:creationId xmlns:a16="http://schemas.microsoft.com/office/drawing/2014/main" id="{00000000-0008-0000-0000-0000E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84" name="Line 2228">
          <a:extLst>
            <a:ext uri="{FF2B5EF4-FFF2-40B4-BE49-F238E27FC236}">
              <a16:creationId xmlns:a16="http://schemas.microsoft.com/office/drawing/2014/main" id="{00000000-0008-0000-0000-0000EC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85" name="Line 2229">
          <a:extLst>
            <a:ext uri="{FF2B5EF4-FFF2-40B4-BE49-F238E27FC236}">
              <a16:creationId xmlns:a16="http://schemas.microsoft.com/office/drawing/2014/main" id="{00000000-0008-0000-0000-0000ED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86" name="Line 2230">
          <a:extLst>
            <a:ext uri="{FF2B5EF4-FFF2-40B4-BE49-F238E27FC236}">
              <a16:creationId xmlns:a16="http://schemas.microsoft.com/office/drawing/2014/main" id="{00000000-0008-0000-0000-0000EE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87" name="Line 2231">
          <a:extLst>
            <a:ext uri="{FF2B5EF4-FFF2-40B4-BE49-F238E27FC236}">
              <a16:creationId xmlns:a16="http://schemas.microsoft.com/office/drawing/2014/main" id="{00000000-0008-0000-0000-0000EF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88" name="Line 2232">
          <a:extLst>
            <a:ext uri="{FF2B5EF4-FFF2-40B4-BE49-F238E27FC236}">
              <a16:creationId xmlns:a16="http://schemas.microsoft.com/office/drawing/2014/main" id="{00000000-0008-0000-0000-0000F0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89" name="Line 2233">
          <a:extLst>
            <a:ext uri="{FF2B5EF4-FFF2-40B4-BE49-F238E27FC236}">
              <a16:creationId xmlns:a16="http://schemas.microsoft.com/office/drawing/2014/main" id="{00000000-0008-0000-0000-0000F1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90" name="Line 2234">
          <a:extLst>
            <a:ext uri="{FF2B5EF4-FFF2-40B4-BE49-F238E27FC236}">
              <a16:creationId xmlns:a16="http://schemas.microsoft.com/office/drawing/2014/main" id="{00000000-0008-0000-0000-0000F2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91" name="Line 2235">
          <a:extLst>
            <a:ext uri="{FF2B5EF4-FFF2-40B4-BE49-F238E27FC236}">
              <a16:creationId xmlns:a16="http://schemas.microsoft.com/office/drawing/2014/main" id="{00000000-0008-0000-0000-0000F3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92" name="Line 2236">
          <a:extLst>
            <a:ext uri="{FF2B5EF4-FFF2-40B4-BE49-F238E27FC236}">
              <a16:creationId xmlns:a16="http://schemas.microsoft.com/office/drawing/2014/main" id="{00000000-0008-0000-0000-0000F4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93" name="Line 2237">
          <a:extLst>
            <a:ext uri="{FF2B5EF4-FFF2-40B4-BE49-F238E27FC236}">
              <a16:creationId xmlns:a16="http://schemas.microsoft.com/office/drawing/2014/main" id="{00000000-0008-0000-0000-0000F5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94" name="Line 2238">
          <a:extLst>
            <a:ext uri="{FF2B5EF4-FFF2-40B4-BE49-F238E27FC236}">
              <a16:creationId xmlns:a16="http://schemas.microsoft.com/office/drawing/2014/main" id="{00000000-0008-0000-0000-0000F6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95" name="Line 2239">
          <a:extLst>
            <a:ext uri="{FF2B5EF4-FFF2-40B4-BE49-F238E27FC236}">
              <a16:creationId xmlns:a16="http://schemas.microsoft.com/office/drawing/2014/main" id="{00000000-0008-0000-0000-0000F7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96" name="Line 2240">
          <a:extLst>
            <a:ext uri="{FF2B5EF4-FFF2-40B4-BE49-F238E27FC236}">
              <a16:creationId xmlns:a16="http://schemas.microsoft.com/office/drawing/2014/main" id="{00000000-0008-0000-0000-0000F8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697" name="Line 2241">
          <a:extLst>
            <a:ext uri="{FF2B5EF4-FFF2-40B4-BE49-F238E27FC236}">
              <a16:creationId xmlns:a16="http://schemas.microsoft.com/office/drawing/2014/main" id="{00000000-0008-0000-0000-0000F9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98" name="Line 2242">
          <a:extLst>
            <a:ext uri="{FF2B5EF4-FFF2-40B4-BE49-F238E27FC236}">
              <a16:creationId xmlns:a16="http://schemas.microsoft.com/office/drawing/2014/main" id="{00000000-0008-0000-0000-0000FA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2</xdr:col>
      <xdr:colOff>22860</xdr:colOff>
      <xdr:row>0</xdr:row>
      <xdr:rowOff>0</xdr:rowOff>
    </xdr:to>
    <xdr:sp macro="" textlink="">
      <xdr:nvSpPr>
        <xdr:cNvPr id="2696699" name="Line 2243">
          <a:extLst>
            <a:ext uri="{FF2B5EF4-FFF2-40B4-BE49-F238E27FC236}">
              <a16:creationId xmlns:a16="http://schemas.microsoft.com/office/drawing/2014/main" id="{00000000-0008-0000-0000-0000FB252900}"/>
            </a:ext>
          </a:extLst>
        </xdr:cNvPr>
        <xdr:cNvSpPr>
          <a:spLocks noChangeShapeType="1"/>
        </xdr:cNvSpPr>
      </xdr:nvSpPr>
      <xdr:spPr bwMode="auto">
        <a:xfrm>
          <a:off x="876300" y="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696700" name="Line 2244">
          <a:extLst>
            <a:ext uri="{FF2B5EF4-FFF2-40B4-BE49-F238E27FC236}">
              <a16:creationId xmlns:a16="http://schemas.microsoft.com/office/drawing/2014/main" id="{00000000-0008-0000-0000-0000FC252900}"/>
            </a:ext>
          </a:extLst>
        </xdr:cNvPr>
        <xdr:cNvSpPr>
          <a:spLocks noChangeShapeType="1"/>
        </xdr:cNvSpPr>
      </xdr:nvSpPr>
      <xdr:spPr bwMode="auto">
        <a:xfrm>
          <a:off x="182880" y="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01" name="Line 2245">
          <a:extLst>
            <a:ext uri="{FF2B5EF4-FFF2-40B4-BE49-F238E27FC236}">
              <a16:creationId xmlns:a16="http://schemas.microsoft.com/office/drawing/2014/main" id="{00000000-0008-0000-0000-0000FD25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02" name="Line 2246">
          <a:extLst>
            <a:ext uri="{FF2B5EF4-FFF2-40B4-BE49-F238E27FC236}">
              <a16:creationId xmlns:a16="http://schemas.microsoft.com/office/drawing/2014/main" id="{00000000-0008-0000-0000-0000FE25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03" name="Line 2247">
          <a:extLst>
            <a:ext uri="{FF2B5EF4-FFF2-40B4-BE49-F238E27FC236}">
              <a16:creationId xmlns:a16="http://schemas.microsoft.com/office/drawing/2014/main" id="{00000000-0008-0000-0000-0000FF25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04" name="Line 2248">
          <a:extLst>
            <a:ext uri="{FF2B5EF4-FFF2-40B4-BE49-F238E27FC236}">
              <a16:creationId xmlns:a16="http://schemas.microsoft.com/office/drawing/2014/main" id="{00000000-0008-0000-0000-000000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05" name="Line 2249">
          <a:extLst>
            <a:ext uri="{FF2B5EF4-FFF2-40B4-BE49-F238E27FC236}">
              <a16:creationId xmlns:a16="http://schemas.microsoft.com/office/drawing/2014/main" id="{00000000-0008-0000-0000-000001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06" name="Line 2250">
          <a:extLst>
            <a:ext uri="{FF2B5EF4-FFF2-40B4-BE49-F238E27FC236}">
              <a16:creationId xmlns:a16="http://schemas.microsoft.com/office/drawing/2014/main" id="{00000000-0008-0000-0000-000002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07" name="Line 2251">
          <a:extLst>
            <a:ext uri="{FF2B5EF4-FFF2-40B4-BE49-F238E27FC236}">
              <a16:creationId xmlns:a16="http://schemas.microsoft.com/office/drawing/2014/main" id="{00000000-0008-0000-0000-000003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08" name="Line 2252">
          <a:extLst>
            <a:ext uri="{FF2B5EF4-FFF2-40B4-BE49-F238E27FC236}">
              <a16:creationId xmlns:a16="http://schemas.microsoft.com/office/drawing/2014/main" id="{00000000-0008-0000-0000-000004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25" name="Line 2269">
          <a:extLst>
            <a:ext uri="{FF2B5EF4-FFF2-40B4-BE49-F238E27FC236}">
              <a16:creationId xmlns:a16="http://schemas.microsoft.com/office/drawing/2014/main" id="{00000000-0008-0000-0000-000015262900}"/>
            </a:ext>
          </a:extLst>
        </xdr:cNvPr>
        <xdr:cNvSpPr>
          <a:spLocks noChangeShapeType="1"/>
        </xdr:cNvSpPr>
      </xdr:nvSpPr>
      <xdr:spPr bwMode="auto">
        <a:xfrm>
          <a:off x="182880" y="3901440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26" name="Line 2270">
          <a:extLst>
            <a:ext uri="{FF2B5EF4-FFF2-40B4-BE49-F238E27FC236}">
              <a16:creationId xmlns:a16="http://schemas.microsoft.com/office/drawing/2014/main" id="{00000000-0008-0000-0000-000016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27" name="Line 2271">
          <a:extLst>
            <a:ext uri="{FF2B5EF4-FFF2-40B4-BE49-F238E27FC236}">
              <a16:creationId xmlns:a16="http://schemas.microsoft.com/office/drawing/2014/main" id="{00000000-0008-0000-0000-000017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28" name="Line 2272">
          <a:extLst>
            <a:ext uri="{FF2B5EF4-FFF2-40B4-BE49-F238E27FC236}">
              <a16:creationId xmlns:a16="http://schemas.microsoft.com/office/drawing/2014/main" id="{00000000-0008-0000-0000-000018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29" name="Line 2273">
          <a:extLst>
            <a:ext uri="{FF2B5EF4-FFF2-40B4-BE49-F238E27FC236}">
              <a16:creationId xmlns:a16="http://schemas.microsoft.com/office/drawing/2014/main" id="{00000000-0008-0000-0000-000019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30" name="Line 2274">
          <a:extLst>
            <a:ext uri="{FF2B5EF4-FFF2-40B4-BE49-F238E27FC236}">
              <a16:creationId xmlns:a16="http://schemas.microsoft.com/office/drawing/2014/main" id="{00000000-0008-0000-0000-00001A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31" name="Line 2275">
          <a:extLst>
            <a:ext uri="{FF2B5EF4-FFF2-40B4-BE49-F238E27FC236}">
              <a16:creationId xmlns:a16="http://schemas.microsoft.com/office/drawing/2014/main" id="{00000000-0008-0000-0000-00001B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32" name="Line 2276">
          <a:extLst>
            <a:ext uri="{FF2B5EF4-FFF2-40B4-BE49-F238E27FC236}">
              <a16:creationId xmlns:a16="http://schemas.microsoft.com/office/drawing/2014/main" id="{00000000-0008-0000-0000-00001C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33" name="Line 2277">
          <a:extLst>
            <a:ext uri="{FF2B5EF4-FFF2-40B4-BE49-F238E27FC236}">
              <a16:creationId xmlns:a16="http://schemas.microsoft.com/office/drawing/2014/main" id="{00000000-0008-0000-0000-00001D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34" name="Line 2278">
          <a:extLst>
            <a:ext uri="{FF2B5EF4-FFF2-40B4-BE49-F238E27FC236}">
              <a16:creationId xmlns:a16="http://schemas.microsoft.com/office/drawing/2014/main" id="{00000000-0008-0000-0000-00001E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35" name="Line 2279">
          <a:extLst>
            <a:ext uri="{FF2B5EF4-FFF2-40B4-BE49-F238E27FC236}">
              <a16:creationId xmlns:a16="http://schemas.microsoft.com/office/drawing/2014/main" id="{00000000-0008-0000-0000-00001F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36" name="Line 2280">
          <a:extLst>
            <a:ext uri="{FF2B5EF4-FFF2-40B4-BE49-F238E27FC236}">
              <a16:creationId xmlns:a16="http://schemas.microsoft.com/office/drawing/2014/main" id="{00000000-0008-0000-0000-000020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37" name="Line 2281">
          <a:extLst>
            <a:ext uri="{FF2B5EF4-FFF2-40B4-BE49-F238E27FC236}">
              <a16:creationId xmlns:a16="http://schemas.microsoft.com/office/drawing/2014/main" id="{00000000-0008-0000-0000-000021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38" name="Line 2282">
          <a:extLst>
            <a:ext uri="{FF2B5EF4-FFF2-40B4-BE49-F238E27FC236}">
              <a16:creationId xmlns:a16="http://schemas.microsoft.com/office/drawing/2014/main" id="{00000000-0008-0000-0000-000022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39" name="Line 2283">
          <a:extLst>
            <a:ext uri="{FF2B5EF4-FFF2-40B4-BE49-F238E27FC236}">
              <a16:creationId xmlns:a16="http://schemas.microsoft.com/office/drawing/2014/main" id="{00000000-0008-0000-0000-000023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40" name="Line 2284">
          <a:extLst>
            <a:ext uri="{FF2B5EF4-FFF2-40B4-BE49-F238E27FC236}">
              <a16:creationId xmlns:a16="http://schemas.microsoft.com/office/drawing/2014/main" id="{00000000-0008-0000-0000-000024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41" name="Line 2285">
          <a:extLst>
            <a:ext uri="{FF2B5EF4-FFF2-40B4-BE49-F238E27FC236}">
              <a16:creationId xmlns:a16="http://schemas.microsoft.com/office/drawing/2014/main" id="{00000000-0008-0000-0000-000025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42" name="Line 2286">
          <a:extLst>
            <a:ext uri="{FF2B5EF4-FFF2-40B4-BE49-F238E27FC236}">
              <a16:creationId xmlns:a16="http://schemas.microsoft.com/office/drawing/2014/main" id="{00000000-0008-0000-0000-000026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43" name="Line 2287">
          <a:extLst>
            <a:ext uri="{FF2B5EF4-FFF2-40B4-BE49-F238E27FC236}">
              <a16:creationId xmlns:a16="http://schemas.microsoft.com/office/drawing/2014/main" id="{00000000-0008-0000-0000-000027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44" name="Line 2288">
          <a:extLst>
            <a:ext uri="{FF2B5EF4-FFF2-40B4-BE49-F238E27FC236}">
              <a16:creationId xmlns:a16="http://schemas.microsoft.com/office/drawing/2014/main" id="{00000000-0008-0000-0000-000028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45" name="Line 2289">
          <a:extLst>
            <a:ext uri="{FF2B5EF4-FFF2-40B4-BE49-F238E27FC236}">
              <a16:creationId xmlns:a16="http://schemas.microsoft.com/office/drawing/2014/main" id="{00000000-0008-0000-0000-000029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46" name="Line 2290">
          <a:extLst>
            <a:ext uri="{FF2B5EF4-FFF2-40B4-BE49-F238E27FC236}">
              <a16:creationId xmlns:a16="http://schemas.microsoft.com/office/drawing/2014/main" id="{00000000-0008-0000-0000-00002A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47" name="Line 2291">
          <a:extLst>
            <a:ext uri="{FF2B5EF4-FFF2-40B4-BE49-F238E27FC236}">
              <a16:creationId xmlns:a16="http://schemas.microsoft.com/office/drawing/2014/main" id="{00000000-0008-0000-0000-00002B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48" name="Line 2292">
          <a:extLst>
            <a:ext uri="{FF2B5EF4-FFF2-40B4-BE49-F238E27FC236}">
              <a16:creationId xmlns:a16="http://schemas.microsoft.com/office/drawing/2014/main" id="{00000000-0008-0000-0000-00002C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49" name="Line 2293">
          <a:extLst>
            <a:ext uri="{FF2B5EF4-FFF2-40B4-BE49-F238E27FC236}">
              <a16:creationId xmlns:a16="http://schemas.microsoft.com/office/drawing/2014/main" id="{00000000-0008-0000-0000-00002D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66" name="Line 2310">
          <a:extLst>
            <a:ext uri="{FF2B5EF4-FFF2-40B4-BE49-F238E27FC236}">
              <a16:creationId xmlns:a16="http://schemas.microsoft.com/office/drawing/2014/main" id="{00000000-0008-0000-0000-00003E262900}"/>
            </a:ext>
          </a:extLst>
        </xdr:cNvPr>
        <xdr:cNvSpPr>
          <a:spLocks noChangeShapeType="1"/>
        </xdr:cNvSpPr>
      </xdr:nvSpPr>
      <xdr:spPr bwMode="auto">
        <a:xfrm>
          <a:off x="182880" y="3901440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67" name="Line 2311">
          <a:extLst>
            <a:ext uri="{FF2B5EF4-FFF2-40B4-BE49-F238E27FC236}">
              <a16:creationId xmlns:a16="http://schemas.microsoft.com/office/drawing/2014/main" id="{00000000-0008-0000-0000-00003F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68" name="Line 2312">
          <a:extLst>
            <a:ext uri="{FF2B5EF4-FFF2-40B4-BE49-F238E27FC236}">
              <a16:creationId xmlns:a16="http://schemas.microsoft.com/office/drawing/2014/main" id="{00000000-0008-0000-0000-000040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69" name="Line 2313">
          <a:extLst>
            <a:ext uri="{FF2B5EF4-FFF2-40B4-BE49-F238E27FC236}">
              <a16:creationId xmlns:a16="http://schemas.microsoft.com/office/drawing/2014/main" id="{00000000-0008-0000-0000-000041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70" name="Line 2314">
          <a:extLst>
            <a:ext uri="{FF2B5EF4-FFF2-40B4-BE49-F238E27FC236}">
              <a16:creationId xmlns:a16="http://schemas.microsoft.com/office/drawing/2014/main" id="{00000000-0008-0000-0000-000042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71" name="Line 2315">
          <a:extLst>
            <a:ext uri="{FF2B5EF4-FFF2-40B4-BE49-F238E27FC236}">
              <a16:creationId xmlns:a16="http://schemas.microsoft.com/office/drawing/2014/main" id="{00000000-0008-0000-0000-000043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72" name="Line 2316">
          <a:extLst>
            <a:ext uri="{FF2B5EF4-FFF2-40B4-BE49-F238E27FC236}">
              <a16:creationId xmlns:a16="http://schemas.microsoft.com/office/drawing/2014/main" id="{00000000-0008-0000-0000-000044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73" name="Line 2317">
          <a:extLst>
            <a:ext uri="{FF2B5EF4-FFF2-40B4-BE49-F238E27FC236}">
              <a16:creationId xmlns:a16="http://schemas.microsoft.com/office/drawing/2014/main" id="{00000000-0008-0000-0000-000045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74" name="Line 2318">
          <a:extLst>
            <a:ext uri="{FF2B5EF4-FFF2-40B4-BE49-F238E27FC236}">
              <a16:creationId xmlns:a16="http://schemas.microsoft.com/office/drawing/2014/main" id="{00000000-0008-0000-0000-000046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91" name="Line 2335">
          <a:extLst>
            <a:ext uri="{FF2B5EF4-FFF2-40B4-BE49-F238E27FC236}">
              <a16:creationId xmlns:a16="http://schemas.microsoft.com/office/drawing/2014/main" id="{00000000-0008-0000-0000-000057262900}"/>
            </a:ext>
          </a:extLst>
        </xdr:cNvPr>
        <xdr:cNvSpPr>
          <a:spLocks noChangeShapeType="1"/>
        </xdr:cNvSpPr>
      </xdr:nvSpPr>
      <xdr:spPr bwMode="auto">
        <a:xfrm>
          <a:off x="182880" y="3901440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92" name="Line 2336">
          <a:extLst>
            <a:ext uri="{FF2B5EF4-FFF2-40B4-BE49-F238E27FC236}">
              <a16:creationId xmlns:a16="http://schemas.microsoft.com/office/drawing/2014/main" id="{00000000-0008-0000-0000-000058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93" name="Line 2337">
          <a:extLst>
            <a:ext uri="{FF2B5EF4-FFF2-40B4-BE49-F238E27FC236}">
              <a16:creationId xmlns:a16="http://schemas.microsoft.com/office/drawing/2014/main" id="{00000000-0008-0000-0000-000059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94" name="Line 2338">
          <a:extLst>
            <a:ext uri="{FF2B5EF4-FFF2-40B4-BE49-F238E27FC236}">
              <a16:creationId xmlns:a16="http://schemas.microsoft.com/office/drawing/2014/main" id="{00000000-0008-0000-0000-00005A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95" name="Line 2339">
          <a:extLst>
            <a:ext uri="{FF2B5EF4-FFF2-40B4-BE49-F238E27FC236}">
              <a16:creationId xmlns:a16="http://schemas.microsoft.com/office/drawing/2014/main" id="{00000000-0008-0000-0000-00005B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96" name="Line 2340">
          <a:extLst>
            <a:ext uri="{FF2B5EF4-FFF2-40B4-BE49-F238E27FC236}">
              <a16:creationId xmlns:a16="http://schemas.microsoft.com/office/drawing/2014/main" id="{00000000-0008-0000-0000-00005C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797" name="Line 2341">
          <a:extLst>
            <a:ext uri="{FF2B5EF4-FFF2-40B4-BE49-F238E27FC236}">
              <a16:creationId xmlns:a16="http://schemas.microsoft.com/office/drawing/2014/main" id="{00000000-0008-0000-0000-00005D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98" name="Line 2342">
          <a:extLst>
            <a:ext uri="{FF2B5EF4-FFF2-40B4-BE49-F238E27FC236}">
              <a16:creationId xmlns:a16="http://schemas.microsoft.com/office/drawing/2014/main" id="{00000000-0008-0000-0000-00005E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799" name="Line 2343">
          <a:extLst>
            <a:ext uri="{FF2B5EF4-FFF2-40B4-BE49-F238E27FC236}">
              <a16:creationId xmlns:a16="http://schemas.microsoft.com/office/drawing/2014/main" id="{00000000-0008-0000-0000-00005F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800" name="Line 2344">
          <a:extLst>
            <a:ext uri="{FF2B5EF4-FFF2-40B4-BE49-F238E27FC236}">
              <a16:creationId xmlns:a16="http://schemas.microsoft.com/office/drawing/2014/main" id="{00000000-0008-0000-0000-000060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01" name="Line 2345">
          <a:extLst>
            <a:ext uri="{FF2B5EF4-FFF2-40B4-BE49-F238E27FC236}">
              <a16:creationId xmlns:a16="http://schemas.microsoft.com/office/drawing/2014/main" id="{00000000-0008-0000-0000-000061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802" name="Line 2346">
          <a:extLst>
            <a:ext uri="{FF2B5EF4-FFF2-40B4-BE49-F238E27FC236}">
              <a16:creationId xmlns:a16="http://schemas.microsoft.com/office/drawing/2014/main" id="{00000000-0008-0000-0000-000062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03" name="Line 2347">
          <a:extLst>
            <a:ext uri="{FF2B5EF4-FFF2-40B4-BE49-F238E27FC236}">
              <a16:creationId xmlns:a16="http://schemas.microsoft.com/office/drawing/2014/main" id="{00000000-0008-0000-0000-000063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04" name="Line 2348">
          <a:extLst>
            <a:ext uri="{FF2B5EF4-FFF2-40B4-BE49-F238E27FC236}">
              <a16:creationId xmlns:a16="http://schemas.microsoft.com/office/drawing/2014/main" id="{00000000-0008-0000-0000-000064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805" name="Line 2349">
          <a:extLst>
            <a:ext uri="{FF2B5EF4-FFF2-40B4-BE49-F238E27FC236}">
              <a16:creationId xmlns:a16="http://schemas.microsoft.com/office/drawing/2014/main" id="{00000000-0008-0000-0000-000065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06" name="Line 2350">
          <a:extLst>
            <a:ext uri="{FF2B5EF4-FFF2-40B4-BE49-F238E27FC236}">
              <a16:creationId xmlns:a16="http://schemas.microsoft.com/office/drawing/2014/main" id="{00000000-0008-0000-0000-000066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07" name="Line 2351">
          <a:extLst>
            <a:ext uri="{FF2B5EF4-FFF2-40B4-BE49-F238E27FC236}">
              <a16:creationId xmlns:a16="http://schemas.microsoft.com/office/drawing/2014/main" id="{00000000-0008-0000-0000-000067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808" name="Line 2352">
          <a:extLst>
            <a:ext uri="{FF2B5EF4-FFF2-40B4-BE49-F238E27FC236}">
              <a16:creationId xmlns:a16="http://schemas.microsoft.com/office/drawing/2014/main" id="{00000000-0008-0000-0000-000068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09" name="Line 2353">
          <a:extLst>
            <a:ext uri="{FF2B5EF4-FFF2-40B4-BE49-F238E27FC236}">
              <a16:creationId xmlns:a16="http://schemas.microsoft.com/office/drawing/2014/main" id="{00000000-0008-0000-0000-000069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810" name="Line 2354">
          <a:extLst>
            <a:ext uri="{FF2B5EF4-FFF2-40B4-BE49-F238E27FC236}">
              <a16:creationId xmlns:a16="http://schemas.microsoft.com/office/drawing/2014/main" id="{00000000-0008-0000-0000-00006A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11" name="Line 2355">
          <a:extLst>
            <a:ext uri="{FF2B5EF4-FFF2-40B4-BE49-F238E27FC236}">
              <a16:creationId xmlns:a16="http://schemas.microsoft.com/office/drawing/2014/main" id="{00000000-0008-0000-0000-00006B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12" name="Line 2356">
          <a:extLst>
            <a:ext uri="{FF2B5EF4-FFF2-40B4-BE49-F238E27FC236}">
              <a16:creationId xmlns:a16="http://schemas.microsoft.com/office/drawing/2014/main" id="{00000000-0008-0000-0000-00006C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813" name="Line 2357">
          <a:extLst>
            <a:ext uri="{FF2B5EF4-FFF2-40B4-BE49-F238E27FC236}">
              <a16:creationId xmlns:a16="http://schemas.microsoft.com/office/drawing/2014/main" id="{00000000-0008-0000-0000-00006D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55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14" name="Line 2358">
          <a:extLst>
            <a:ext uri="{FF2B5EF4-FFF2-40B4-BE49-F238E27FC236}">
              <a16:creationId xmlns:a16="http://schemas.microsoft.com/office/drawing/2014/main" id="{00000000-0008-0000-0000-00006E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168</xdr:row>
      <xdr:rowOff>0</xdr:rowOff>
    </xdr:from>
    <xdr:to>
      <xdr:col>2</xdr:col>
      <xdr:colOff>22860</xdr:colOff>
      <xdr:row>168</xdr:row>
      <xdr:rowOff>0</xdr:rowOff>
    </xdr:to>
    <xdr:sp macro="" textlink="">
      <xdr:nvSpPr>
        <xdr:cNvPr id="2696815" name="Line 2359">
          <a:extLst>
            <a:ext uri="{FF2B5EF4-FFF2-40B4-BE49-F238E27FC236}">
              <a16:creationId xmlns:a16="http://schemas.microsoft.com/office/drawing/2014/main" id="{00000000-0008-0000-0000-00006F262900}"/>
            </a:ext>
          </a:extLst>
        </xdr:cNvPr>
        <xdr:cNvSpPr>
          <a:spLocks noChangeShapeType="1"/>
        </xdr:cNvSpPr>
      </xdr:nvSpPr>
      <xdr:spPr bwMode="auto">
        <a:xfrm>
          <a:off x="876300" y="39014400"/>
          <a:ext cx="387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696832" name="Line 2376">
          <a:extLst>
            <a:ext uri="{FF2B5EF4-FFF2-40B4-BE49-F238E27FC236}">
              <a16:creationId xmlns:a16="http://schemas.microsoft.com/office/drawing/2014/main" id="{00000000-0008-0000-0000-000080262900}"/>
            </a:ext>
          </a:extLst>
        </xdr:cNvPr>
        <xdr:cNvSpPr>
          <a:spLocks noChangeShapeType="1"/>
        </xdr:cNvSpPr>
      </xdr:nvSpPr>
      <xdr:spPr bwMode="auto">
        <a:xfrm>
          <a:off x="182880" y="39014400"/>
          <a:ext cx="454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33" name="Line 792">
          <a:extLst>
            <a:ext uri="{FF2B5EF4-FFF2-40B4-BE49-F238E27FC236}">
              <a16:creationId xmlns:a16="http://schemas.microsoft.com/office/drawing/2014/main" id="{00000000-0008-0000-0000-000081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34" name="Line 793">
          <a:extLst>
            <a:ext uri="{FF2B5EF4-FFF2-40B4-BE49-F238E27FC236}">
              <a16:creationId xmlns:a16="http://schemas.microsoft.com/office/drawing/2014/main" id="{00000000-0008-0000-0000-000082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35" name="Line 794">
          <a:extLst>
            <a:ext uri="{FF2B5EF4-FFF2-40B4-BE49-F238E27FC236}">
              <a16:creationId xmlns:a16="http://schemas.microsoft.com/office/drawing/2014/main" id="{00000000-0008-0000-0000-000083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36" name="Line 795">
          <a:extLst>
            <a:ext uri="{FF2B5EF4-FFF2-40B4-BE49-F238E27FC236}">
              <a16:creationId xmlns:a16="http://schemas.microsoft.com/office/drawing/2014/main" id="{00000000-0008-0000-0000-000084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37" name="Line 796">
          <a:extLst>
            <a:ext uri="{FF2B5EF4-FFF2-40B4-BE49-F238E27FC236}">
              <a16:creationId xmlns:a16="http://schemas.microsoft.com/office/drawing/2014/main" id="{00000000-0008-0000-0000-000085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38" name="Line 797">
          <a:extLst>
            <a:ext uri="{FF2B5EF4-FFF2-40B4-BE49-F238E27FC236}">
              <a16:creationId xmlns:a16="http://schemas.microsoft.com/office/drawing/2014/main" id="{00000000-0008-0000-0000-000086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39" name="Line 798">
          <a:extLst>
            <a:ext uri="{FF2B5EF4-FFF2-40B4-BE49-F238E27FC236}">
              <a16:creationId xmlns:a16="http://schemas.microsoft.com/office/drawing/2014/main" id="{00000000-0008-0000-0000-000087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0" name="Line 799">
          <a:extLst>
            <a:ext uri="{FF2B5EF4-FFF2-40B4-BE49-F238E27FC236}">
              <a16:creationId xmlns:a16="http://schemas.microsoft.com/office/drawing/2014/main" id="{00000000-0008-0000-0000-000088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1" name="Line 800">
          <a:extLst>
            <a:ext uri="{FF2B5EF4-FFF2-40B4-BE49-F238E27FC236}">
              <a16:creationId xmlns:a16="http://schemas.microsoft.com/office/drawing/2014/main" id="{00000000-0008-0000-0000-000089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2" name="Line 801">
          <a:extLst>
            <a:ext uri="{FF2B5EF4-FFF2-40B4-BE49-F238E27FC236}">
              <a16:creationId xmlns:a16="http://schemas.microsoft.com/office/drawing/2014/main" id="{00000000-0008-0000-0000-00008A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3" name="Line 802">
          <a:extLst>
            <a:ext uri="{FF2B5EF4-FFF2-40B4-BE49-F238E27FC236}">
              <a16:creationId xmlns:a16="http://schemas.microsoft.com/office/drawing/2014/main" id="{00000000-0008-0000-0000-00008B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4" name="Line 803">
          <a:extLst>
            <a:ext uri="{FF2B5EF4-FFF2-40B4-BE49-F238E27FC236}">
              <a16:creationId xmlns:a16="http://schemas.microsoft.com/office/drawing/2014/main" id="{00000000-0008-0000-0000-00008C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5" name="Line 804">
          <a:extLst>
            <a:ext uri="{FF2B5EF4-FFF2-40B4-BE49-F238E27FC236}">
              <a16:creationId xmlns:a16="http://schemas.microsoft.com/office/drawing/2014/main" id="{00000000-0008-0000-0000-00008D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6" name="Line 805">
          <a:extLst>
            <a:ext uri="{FF2B5EF4-FFF2-40B4-BE49-F238E27FC236}">
              <a16:creationId xmlns:a16="http://schemas.microsoft.com/office/drawing/2014/main" id="{00000000-0008-0000-0000-00008E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7" name="Line 806">
          <a:extLst>
            <a:ext uri="{FF2B5EF4-FFF2-40B4-BE49-F238E27FC236}">
              <a16:creationId xmlns:a16="http://schemas.microsoft.com/office/drawing/2014/main" id="{00000000-0008-0000-0000-00008F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8" name="Line 807">
          <a:extLst>
            <a:ext uri="{FF2B5EF4-FFF2-40B4-BE49-F238E27FC236}">
              <a16:creationId xmlns:a16="http://schemas.microsoft.com/office/drawing/2014/main" id="{00000000-0008-0000-0000-000090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49" name="Line 808">
          <a:extLst>
            <a:ext uri="{FF2B5EF4-FFF2-40B4-BE49-F238E27FC236}">
              <a16:creationId xmlns:a16="http://schemas.microsoft.com/office/drawing/2014/main" id="{00000000-0008-0000-0000-000091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0" name="Line 809">
          <a:extLst>
            <a:ext uri="{FF2B5EF4-FFF2-40B4-BE49-F238E27FC236}">
              <a16:creationId xmlns:a16="http://schemas.microsoft.com/office/drawing/2014/main" id="{00000000-0008-0000-0000-000092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1" name="Line 810">
          <a:extLst>
            <a:ext uri="{FF2B5EF4-FFF2-40B4-BE49-F238E27FC236}">
              <a16:creationId xmlns:a16="http://schemas.microsoft.com/office/drawing/2014/main" id="{00000000-0008-0000-0000-000093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2" name="Line 811">
          <a:extLst>
            <a:ext uri="{FF2B5EF4-FFF2-40B4-BE49-F238E27FC236}">
              <a16:creationId xmlns:a16="http://schemas.microsoft.com/office/drawing/2014/main" id="{00000000-0008-0000-0000-000094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3" name="Line 812">
          <a:extLst>
            <a:ext uri="{FF2B5EF4-FFF2-40B4-BE49-F238E27FC236}">
              <a16:creationId xmlns:a16="http://schemas.microsoft.com/office/drawing/2014/main" id="{00000000-0008-0000-0000-000095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4" name="Line 813">
          <a:extLst>
            <a:ext uri="{FF2B5EF4-FFF2-40B4-BE49-F238E27FC236}">
              <a16:creationId xmlns:a16="http://schemas.microsoft.com/office/drawing/2014/main" id="{00000000-0008-0000-0000-000096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5" name="Line 814">
          <a:extLst>
            <a:ext uri="{FF2B5EF4-FFF2-40B4-BE49-F238E27FC236}">
              <a16:creationId xmlns:a16="http://schemas.microsoft.com/office/drawing/2014/main" id="{00000000-0008-0000-0000-000097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6" name="Line 815">
          <a:extLst>
            <a:ext uri="{FF2B5EF4-FFF2-40B4-BE49-F238E27FC236}">
              <a16:creationId xmlns:a16="http://schemas.microsoft.com/office/drawing/2014/main" id="{00000000-0008-0000-0000-000098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7" name="Line 816">
          <a:extLst>
            <a:ext uri="{FF2B5EF4-FFF2-40B4-BE49-F238E27FC236}">
              <a16:creationId xmlns:a16="http://schemas.microsoft.com/office/drawing/2014/main" id="{00000000-0008-0000-0000-000099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8" name="Line 817">
          <a:extLst>
            <a:ext uri="{FF2B5EF4-FFF2-40B4-BE49-F238E27FC236}">
              <a16:creationId xmlns:a16="http://schemas.microsoft.com/office/drawing/2014/main" id="{00000000-0008-0000-0000-00009A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59" name="Line 818">
          <a:extLst>
            <a:ext uri="{FF2B5EF4-FFF2-40B4-BE49-F238E27FC236}">
              <a16:creationId xmlns:a16="http://schemas.microsoft.com/office/drawing/2014/main" id="{00000000-0008-0000-0000-00009B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0" name="Line 819">
          <a:extLst>
            <a:ext uri="{FF2B5EF4-FFF2-40B4-BE49-F238E27FC236}">
              <a16:creationId xmlns:a16="http://schemas.microsoft.com/office/drawing/2014/main" id="{00000000-0008-0000-0000-00009C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1" name="Line 820">
          <a:extLst>
            <a:ext uri="{FF2B5EF4-FFF2-40B4-BE49-F238E27FC236}">
              <a16:creationId xmlns:a16="http://schemas.microsoft.com/office/drawing/2014/main" id="{00000000-0008-0000-0000-00009D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2" name="Line 821">
          <a:extLst>
            <a:ext uri="{FF2B5EF4-FFF2-40B4-BE49-F238E27FC236}">
              <a16:creationId xmlns:a16="http://schemas.microsoft.com/office/drawing/2014/main" id="{00000000-0008-0000-0000-00009E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3" name="Line 822">
          <a:extLst>
            <a:ext uri="{FF2B5EF4-FFF2-40B4-BE49-F238E27FC236}">
              <a16:creationId xmlns:a16="http://schemas.microsoft.com/office/drawing/2014/main" id="{00000000-0008-0000-0000-00009F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4" name="Line 823">
          <a:extLst>
            <a:ext uri="{FF2B5EF4-FFF2-40B4-BE49-F238E27FC236}">
              <a16:creationId xmlns:a16="http://schemas.microsoft.com/office/drawing/2014/main" id="{00000000-0008-0000-0000-0000A0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5" name="Line 824">
          <a:extLst>
            <a:ext uri="{FF2B5EF4-FFF2-40B4-BE49-F238E27FC236}">
              <a16:creationId xmlns:a16="http://schemas.microsoft.com/office/drawing/2014/main" id="{00000000-0008-0000-0000-0000A1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6" name="Line 825">
          <a:extLst>
            <a:ext uri="{FF2B5EF4-FFF2-40B4-BE49-F238E27FC236}">
              <a16:creationId xmlns:a16="http://schemas.microsoft.com/office/drawing/2014/main" id="{00000000-0008-0000-0000-0000A2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7" name="Line 826">
          <a:extLst>
            <a:ext uri="{FF2B5EF4-FFF2-40B4-BE49-F238E27FC236}">
              <a16:creationId xmlns:a16="http://schemas.microsoft.com/office/drawing/2014/main" id="{00000000-0008-0000-0000-0000A3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8" name="Line 827">
          <a:extLst>
            <a:ext uri="{FF2B5EF4-FFF2-40B4-BE49-F238E27FC236}">
              <a16:creationId xmlns:a16="http://schemas.microsoft.com/office/drawing/2014/main" id="{00000000-0008-0000-0000-0000A4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69" name="Line 828">
          <a:extLst>
            <a:ext uri="{FF2B5EF4-FFF2-40B4-BE49-F238E27FC236}">
              <a16:creationId xmlns:a16="http://schemas.microsoft.com/office/drawing/2014/main" id="{00000000-0008-0000-0000-0000A5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0" name="Line 829">
          <a:extLst>
            <a:ext uri="{FF2B5EF4-FFF2-40B4-BE49-F238E27FC236}">
              <a16:creationId xmlns:a16="http://schemas.microsoft.com/office/drawing/2014/main" id="{00000000-0008-0000-0000-0000A6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1" name="Line 830">
          <a:extLst>
            <a:ext uri="{FF2B5EF4-FFF2-40B4-BE49-F238E27FC236}">
              <a16:creationId xmlns:a16="http://schemas.microsoft.com/office/drawing/2014/main" id="{00000000-0008-0000-0000-0000A7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2" name="Line 831">
          <a:extLst>
            <a:ext uri="{FF2B5EF4-FFF2-40B4-BE49-F238E27FC236}">
              <a16:creationId xmlns:a16="http://schemas.microsoft.com/office/drawing/2014/main" id="{00000000-0008-0000-0000-0000A8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3" name="Line 832">
          <a:extLst>
            <a:ext uri="{FF2B5EF4-FFF2-40B4-BE49-F238E27FC236}">
              <a16:creationId xmlns:a16="http://schemas.microsoft.com/office/drawing/2014/main" id="{00000000-0008-0000-0000-0000A9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4" name="Line 833">
          <a:extLst>
            <a:ext uri="{FF2B5EF4-FFF2-40B4-BE49-F238E27FC236}">
              <a16:creationId xmlns:a16="http://schemas.microsoft.com/office/drawing/2014/main" id="{00000000-0008-0000-0000-0000AA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5" name="Line 834">
          <a:extLst>
            <a:ext uri="{FF2B5EF4-FFF2-40B4-BE49-F238E27FC236}">
              <a16:creationId xmlns:a16="http://schemas.microsoft.com/office/drawing/2014/main" id="{00000000-0008-0000-0000-0000AB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6" name="Line 835">
          <a:extLst>
            <a:ext uri="{FF2B5EF4-FFF2-40B4-BE49-F238E27FC236}">
              <a16:creationId xmlns:a16="http://schemas.microsoft.com/office/drawing/2014/main" id="{00000000-0008-0000-0000-0000AC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7" name="Line 836">
          <a:extLst>
            <a:ext uri="{FF2B5EF4-FFF2-40B4-BE49-F238E27FC236}">
              <a16:creationId xmlns:a16="http://schemas.microsoft.com/office/drawing/2014/main" id="{00000000-0008-0000-0000-0000AD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8" name="Line 837">
          <a:extLst>
            <a:ext uri="{FF2B5EF4-FFF2-40B4-BE49-F238E27FC236}">
              <a16:creationId xmlns:a16="http://schemas.microsoft.com/office/drawing/2014/main" id="{00000000-0008-0000-0000-0000AE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79" name="Line 838">
          <a:extLst>
            <a:ext uri="{FF2B5EF4-FFF2-40B4-BE49-F238E27FC236}">
              <a16:creationId xmlns:a16="http://schemas.microsoft.com/office/drawing/2014/main" id="{00000000-0008-0000-0000-0000AF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0" name="Line 839">
          <a:extLst>
            <a:ext uri="{FF2B5EF4-FFF2-40B4-BE49-F238E27FC236}">
              <a16:creationId xmlns:a16="http://schemas.microsoft.com/office/drawing/2014/main" id="{00000000-0008-0000-0000-0000B0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1" name="Line 840">
          <a:extLst>
            <a:ext uri="{FF2B5EF4-FFF2-40B4-BE49-F238E27FC236}">
              <a16:creationId xmlns:a16="http://schemas.microsoft.com/office/drawing/2014/main" id="{00000000-0008-0000-0000-0000B1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2" name="Line 841">
          <a:extLst>
            <a:ext uri="{FF2B5EF4-FFF2-40B4-BE49-F238E27FC236}">
              <a16:creationId xmlns:a16="http://schemas.microsoft.com/office/drawing/2014/main" id="{00000000-0008-0000-0000-0000B2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3" name="Line 842">
          <a:extLst>
            <a:ext uri="{FF2B5EF4-FFF2-40B4-BE49-F238E27FC236}">
              <a16:creationId xmlns:a16="http://schemas.microsoft.com/office/drawing/2014/main" id="{00000000-0008-0000-0000-0000B3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4" name="Line 843">
          <a:extLst>
            <a:ext uri="{FF2B5EF4-FFF2-40B4-BE49-F238E27FC236}">
              <a16:creationId xmlns:a16="http://schemas.microsoft.com/office/drawing/2014/main" id="{00000000-0008-0000-0000-0000B4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5" name="Line 844">
          <a:extLst>
            <a:ext uri="{FF2B5EF4-FFF2-40B4-BE49-F238E27FC236}">
              <a16:creationId xmlns:a16="http://schemas.microsoft.com/office/drawing/2014/main" id="{00000000-0008-0000-0000-0000B5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6" name="Line 845">
          <a:extLst>
            <a:ext uri="{FF2B5EF4-FFF2-40B4-BE49-F238E27FC236}">
              <a16:creationId xmlns:a16="http://schemas.microsoft.com/office/drawing/2014/main" id="{00000000-0008-0000-0000-0000B6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7" name="Line 846">
          <a:extLst>
            <a:ext uri="{FF2B5EF4-FFF2-40B4-BE49-F238E27FC236}">
              <a16:creationId xmlns:a16="http://schemas.microsoft.com/office/drawing/2014/main" id="{00000000-0008-0000-0000-0000B7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8" name="Line 847">
          <a:extLst>
            <a:ext uri="{FF2B5EF4-FFF2-40B4-BE49-F238E27FC236}">
              <a16:creationId xmlns:a16="http://schemas.microsoft.com/office/drawing/2014/main" id="{00000000-0008-0000-0000-0000B8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89" name="Line 848">
          <a:extLst>
            <a:ext uri="{FF2B5EF4-FFF2-40B4-BE49-F238E27FC236}">
              <a16:creationId xmlns:a16="http://schemas.microsoft.com/office/drawing/2014/main" id="{00000000-0008-0000-0000-0000B9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0" name="Line 849">
          <a:extLst>
            <a:ext uri="{FF2B5EF4-FFF2-40B4-BE49-F238E27FC236}">
              <a16:creationId xmlns:a16="http://schemas.microsoft.com/office/drawing/2014/main" id="{00000000-0008-0000-0000-0000BA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1" name="Line 850">
          <a:extLst>
            <a:ext uri="{FF2B5EF4-FFF2-40B4-BE49-F238E27FC236}">
              <a16:creationId xmlns:a16="http://schemas.microsoft.com/office/drawing/2014/main" id="{00000000-0008-0000-0000-0000BB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2" name="Line 851">
          <a:extLst>
            <a:ext uri="{FF2B5EF4-FFF2-40B4-BE49-F238E27FC236}">
              <a16:creationId xmlns:a16="http://schemas.microsoft.com/office/drawing/2014/main" id="{00000000-0008-0000-0000-0000BC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3" name="Line 852">
          <a:extLst>
            <a:ext uri="{FF2B5EF4-FFF2-40B4-BE49-F238E27FC236}">
              <a16:creationId xmlns:a16="http://schemas.microsoft.com/office/drawing/2014/main" id="{00000000-0008-0000-0000-0000BD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4" name="Line 853">
          <a:extLst>
            <a:ext uri="{FF2B5EF4-FFF2-40B4-BE49-F238E27FC236}">
              <a16:creationId xmlns:a16="http://schemas.microsoft.com/office/drawing/2014/main" id="{00000000-0008-0000-0000-0000BE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5" name="Line 854">
          <a:extLst>
            <a:ext uri="{FF2B5EF4-FFF2-40B4-BE49-F238E27FC236}">
              <a16:creationId xmlns:a16="http://schemas.microsoft.com/office/drawing/2014/main" id="{00000000-0008-0000-0000-0000BF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6" name="Line 855">
          <a:extLst>
            <a:ext uri="{FF2B5EF4-FFF2-40B4-BE49-F238E27FC236}">
              <a16:creationId xmlns:a16="http://schemas.microsoft.com/office/drawing/2014/main" id="{00000000-0008-0000-0000-0000C0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7" name="Line 856">
          <a:extLst>
            <a:ext uri="{FF2B5EF4-FFF2-40B4-BE49-F238E27FC236}">
              <a16:creationId xmlns:a16="http://schemas.microsoft.com/office/drawing/2014/main" id="{00000000-0008-0000-0000-0000C1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8" name="Line 857">
          <a:extLst>
            <a:ext uri="{FF2B5EF4-FFF2-40B4-BE49-F238E27FC236}">
              <a16:creationId xmlns:a16="http://schemas.microsoft.com/office/drawing/2014/main" id="{00000000-0008-0000-0000-0000C2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899" name="Line 858">
          <a:extLst>
            <a:ext uri="{FF2B5EF4-FFF2-40B4-BE49-F238E27FC236}">
              <a16:creationId xmlns:a16="http://schemas.microsoft.com/office/drawing/2014/main" id="{00000000-0008-0000-0000-0000C3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0" name="Line 859">
          <a:extLst>
            <a:ext uri="{FF2B5EF4-FFF2-40B4-BE49-F238E27FC236}">
              <a16:creationId xmlns:a16="http://schemas.microsoft.com/office/drawing/2014/main" id="{00000000-0008-0000-0000-0000C4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1" name="Line 860">
          <a:extLst>
            <a:ext uri="{FF2B5EF4-FFF2-40B4-BE49-F238E27FC236}">
              <a16:creationId xmlns:a16="http://schemas.microsoft.com/office/drawing/2014/main" id="{00000000-0008-0000-0000-0000C5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2" name="Line 861">
          <a:extLst>
            <a:ext uri="{FF2B5EF4-FFF2-40B4-BE49-F238E27FC236}">
              <a16:creationId xmlns:a16="http://schemas.microsoft.com/office/drawing/2014/main" id="{00000000-0008-0000-0000-0000C6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3" name="Line 862">
          <a:extLst>
            <a:ext uri="{FF2B5EF4-FFF2-40B4-BE49-F238E27FC236}">
              <a16:creationId xmlns:a16="http://schemas.microsoft.com/office/drawing/2014/main" id="{00000000-0008-0000-0000-0000C7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4" name="Line 863">
          <a:extLst>
            <a:ext uri="{FF2B5EF4-FFF2-40B4-BE49-F238E27FC236}">
              <a16:creationId xmlns:a16="http://schemas.microsoft.com/office/drawing/2014/main" id="{00000000-0008-0000-0000-0000C8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5" name="Line 864">
          <a:extLst>
            <a:ext uri="{FF2B5EF4-FFF2-40B4-BE49-F238E27FC236}">
              <a16:creationId xmlns:a16="http://schemas.microsoft.com/office/drawing/2014/main" id="{00000000-0008-0000-0000-0000C9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6" name="Line 865">
          <a:extLst>
            <a:ext uri="{FF2B5EF4-FFF2-40B4-BE49-F238E27FC236}">
              <a16:creationId xmlns:a16="http://schemas.microsoft.com/office/drawing/2014/main" id="{00000000-0008-0000-0000-0000CA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7" name="Line 866">
          <a:extLst>
            <a:ext uri="{FF2B5EF4-FFF2-40B4-BE49-F238E27FC236}">
              <a16:creationId xmlns:a16="http://schemas.microsoft.com/office/drawing/2014/main" id="{00000000-0008-0000-0000-0000CB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8" name="Line 867">
          <a:extLst>
            <a:ext uri="{FF2B5EF4-FFF2-40B4-BE49-F238E27FC236}">
              <a16:creationId xmlns:a16="http://schemas.microsoft.com/office/drawing/2014/main" id="{00000000-0008-0000-0000-0000CC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09" name="Line 868">
          <a:extLst>
            <a:ext uri="{FF2B5EF4-FFF2-40B4-BE49-F238E27FC236}">
              <a16:creationId xmlns:a16="http://schemas.microsoft.com/office/drawing/2014/main" id="{00000000-0008-0000-0000-0000CD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0" name="Line 869">
          <a:extLst>
            <a:ext uri="{FF2B5EF4-FFF2-40B4-BE49-F238E27FC236}">
              <a16:creationId xmlns:a16="http://schemas.microsoft.com/office/drawing/2014/main" id="{00000000-0008-0000-0000-0000CE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1" name="Line 870">
          <a:extLst>
            <a:ext uri="{FF2B5EF4-FFF2-40B4-BE49-F238E27FC236}">
              <a16:creationId xmlns:a16="http://schemas.microsoft.com/office/drawing/2014/main" id="{00000000-0008-0000-0000-0000CF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2" name="Line 871">
          <a:extLst>
            <a:ext uri="{FF2B5EF4-FFF2-40B4-BE49-F238E27FC236}">
              <a16:creationId xmlns:a16="http://schemas.microsoft.com/office/drawing/2014/main" id="{00000000-0008-0000-0000-0000D0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3" name="Line 872">
          <a:extLst>
            <a:ext uri="{FF2B5EF4-FFF2-40B4-BE49-F238E27FC236}">
              <a16:creationId xmlns:a16="http://schemas.microsoft.com/office/drawing/2014/main" id="{00000000-0008-0000-0000-0000D1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4" name="Line 873">
          <a:extLst>
            <a:ext uri="{FF2B5EF4-FFF2-40B4-BE49-F238E27FC236}">
              <a16:creationId xmlns:a16="http://schemas.microsoft.com/office/drawing/2014/main" id="{00000000-0008-0000-0000-0000D2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5" name="Line 874">
          <a:extLst>
            <a:ext uri="{FF2B5EF4-FFF2-40B4-BE49-F238E27FC236}">
              <a16:creationId xmlns:a16="http://schemas.microsoft.com/office/drawing/2014/main" id="{00000000-0008-0000-0000-0000D3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6" name="Line 875">
          <a:extLst>
            <a:ext uri="{FF2B5EF4-FFF2-40B4-BE49-F238E27FC236}">
              <a16:creationId xmlns:a16="http://schemas.microsoft.com/office/drawing/2014/main" id="{00000000-0008-0000-0000-0000D4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7" name="Line 876">
          <a:extLst>
            <a:ext uri="{FF2B5EF4-FFF2-40B4-BE49-F238E27FC236}">
              <a16:creationId xmlns:a16="http://schemas.microsoft.com/office/drawing/2014/main" id="{00000000-0008-0000-0000-0000D5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8" name="Line 877">
          <a:extLst>
            <a:ext uri="{FF2B5EF4-FFF2-40B4-BE49-F238E27FC236}">
              <a16:creationId xmlns:a16="http://schemas.microsoft.com/office/drawing/2014/main" id="{00000000-0008-0000-0000-0000D6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19" name="Line 878">
          <a:extLst>
            <a:ext uri="{FF2B5EF4-FFF2-40B4-BE49-F238E27FC236}">
              <a16:creationId xmlns:a16="http://schemas.microsoft.com/office/drawing/2014/main" id="{00000000-0008-0000-0000-0000D7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0" name="Line 879">
          <a:extLst>
            <a:ext uri="{FF2B5EF4-FFF2-40B4-BE49-F238E27FC236}">
              <a16:creationId xmlns:a16="http://schemas.microsoft.com/office/drawing/2014/main" id="{00000000-0008-0000-0000-0000D8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1" name="Line 880">
          <a:extLst>
            <a:ext uri="{FF2B5EF4-FFF2-40B4-BE49-F238E27FC236}">
              <a16:creationId xmlns:a16="http://schemas.microsoft.com/office/drawing/2014/main" id="{00000000-0008-0000-0000-0000D9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2" name="Line 881">
          <a:extLst>
            <a:ext uri="{FF2B5EF4-FFF2-40B4-BE49-F238E27FC236}">
              <a16:creationId xmlns:a16="http://schemas.microsoft.com/office/drawing/2014/main" id="{00000000-0008-0000-0000-0000DA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3" name="Line 882">
          <a:extLst>
            <a:ext uri="{FF2B5EF4-FFF2-40B4-BE49-F238E27FC236}">
              <a16:creationId xmlns:a16="http://schemas.microsoft.com/office/drawing/2014/main" id="{00000000-0008-0000-0000-0000DB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4" name="Line 883">
          <a:extLst>
            <a:ext uri="{FF2B5EF4-FFF2-40B4-BE49-F238E27FC236}">
              <a16:creationId xmlns:a16="http://schemas.microsoft.com/office/drawing/2014/main" id="{00000000-0008-0000-0000-0000DC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5" name="Line 884">
          <a:extLst>
            <a:ext uri="{FF2B5EF4-FFF2-40B4-BE49-F238E27FC236}">
              <a16:creationId xmlns:a16="http://schemas.microsoft.com/office/drawing/2014/main" id="{00000000-0008-0000-0000-0000DD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6" name="Line 885">
          <a:extLst>
            <a:ext uri="{FF2B5EF4-FFF2-40B4-BE49-F238E27FC236}">
              <a16:creationId xmlns:a16="http://schemas.microsoft.com/office/drawing/2014/main" id="{00000000-0008-0000-0000-0000DE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7" name="Line 886">
          <a:extLst>
            <a:ext uri="{FF2B5EF4-FFF2-40B4-BE49-F238E27FC236}">
              <a16:creationId xmlns:a16="http://schemas.microsoft.com/office/drawing/2014/main" id="{00000000-0008-0000-0000-0000DF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8" name="Line 887">
          <a:extLst>
            <a:ext uri="{FF2B5EF4-FFF2-40B4-BE49-F238E27FC236}">
              <a16:creationId xmlns:a16="http://schemas.microsoft.com/office/drawing/2014/main" id="{00000000-0008-0000-0000-0000E0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29" name="Line 888">
          <a:extLst>
            <a:ext uri="{FF2B5EF4-FFF2-40B4-BE49-F238E27FC236}">
              <a16:creationId xmlns:a16="http://schemas.microsoft.com/office/drawing/2014/main" id="{00000000-0008-0000-0000-0000E1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0" name="Line 889">
          <a:extLst>
            <a:ext uri="{FF2B5EF4-FFF2-40B4-BE49-F238E27FC236}">
              <a16:creationId xmlns:a16="http://schemas.microsoft.com/office/drawing/2014/main" id="{00000000-0008-0000-0000-0000E2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1" name="Line 890">
          <a:extLst>
            <a:ext uri="{FF2B5EF4-FFF2-40B4-BE49-F238E27FC236}">
              <a16:creationId xmlns:a16="http://schemas.microsoft.com/office/drawing/2014/main" id="{00000000-0008-0000-0000-0000E3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2" name="Line 891">
          <a:extLst>
            <a:ext uri="{FF2B5EF4-FFF2-40B4-BE49-F238E27FC236}">
              <a16:creationId xmlns:a16="http://schemas.microsoft.com/office/drawing/2014/main" id="{00000000-0008-0000-0000-0000E4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3" name="Line 892">
          <a:extLst>
            <a:ext uri="{FF2B5EF4-FFF2-40B4-BE49-F238E27FC236}">
              <a16:creationId xmlns:a16="http://schemas.microsoft.com/office/drawing/2014/main" id="{00000000-0008-0000-0000-0000E5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4" name="Line 893">
          <a:extLst>
            <a:ext uri="{FF2B5EF4-FFF2-40B4-BE49-F238E27FC236}">
              <a16:creationId xmlns:a16="http://schemas.microsoft.com/office/drawing/2014/main" id="{00000000-0008-0000-0000-0000E6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5" name="Line 894">
          <a:extLst>
            <a:ext uri="{FF2B5EF4-FFF2-40B4-BE49-F238E27FC236}">
              <a16:creationId xmlns:a16="http://schemas.microsoft.com/office/drawing/2014/main" id="{00000000-0008-0000-0000-0000E7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6" name="Line 895">
          <a:extLst>
            <a:ext uri="{FF2B5EF4-FFF2-40B4-BE49-F238E27FC236}">
              <a16:creationId xmlns:a16="http://schemas.microsoft.com/office/drawing/2014/main" id="{00000000-0008-0000-0000-0000E8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7" name="Line 896">
          <a:extLst>
            <a:ext uri="{FF2B5EF4-FFF2-40B4-BE49-F238E27FC236}">
              <a16:creationId xmlns:a16="http://schemas.microsoft.com/office/drawing/2014/main" id="{00000000-0008-0000-0000-0000E9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8" name="Line 897">
          <a:extLst>
            <a:ext uri="{FF2B5EF4-FFF2-40B4-BE49-F238E27FC236}">
              <a16:creationId xmlns:a16="http://schemas.microsoft.com/office/drawing/2014/main" id="{00000000-0008-0000-0000-0000EA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39" name="Line 898">
          <a:extLst>
            <a:ext uri="{FF2B5EF4-FFF2-40B4-BE49-F238E27FC236}">
              <a16:creationId xmlns:a16="http://schemas.microsoft.com/office/drawing/2014/main" id="{00000000-0008-0000-0000-0000EB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0" name="Line 899">
          <a:extLst>
            <a:ext uri="{FF2B5EF4-FFF2-40B4-BE49-F238E27FC236}">
              <a16:creationId xmlns:a16="http://schemas.microsoft.com/office/drawing/2014/main" id="{00000000-0008-0000-0000-0000EC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1" name="Line 900">
          <a:extLst>
            <a:ext uri="{FF2B5EF4-FFF2-40B4-BE49-F238E27FC236}">
              <a16:creationId xmlns:a16="http://schemas.microsoft.com/office/drawing/2014/main" id="{00000000-0008-0000-0000-0000ED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2" name="Line 901">
          <a:extLst>
            <a:ext uri="{FF2B5EF4-FFF2-40B4-BE49-F238E27FC236}">
              <a16:creationId xmlns:a16="http://schemas.microsoft.com/office/drawing/2014/main" id="{00000000-0008-0000-0000-0000EE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3" name="Line 902">
          <a:extLst>
            <a:ext uri="{FF2B5EF4-FFF2-40B4-BE49-F238E27FC236}">
              <a16:creationId xmlns:a16="http://schemas.microsoft.com/office/drawing/2014/main" id="{00000000-0008-0000-0000-0000EF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4" name="Line 903">
          <a:extLst>
            <a:ext uri="{FF2B5EF4-FFF2-40B4-BE49-F238E27FC236}">
              <a16:creationId xmlns:a16="http://schemas.microsoft.com/office/drawing/2014/main" id="{00000000-0008-0000-0000-0000F0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5" name="Line 904">
          <a:extLst>
            <a:ext uri="{FF2B5EF4-FFF2-40B4-BE49-F238E27FC236}">
              <a16:creationId xmlns:a16="http://schemas.microsoft.com/office/drawing/2014/main" id="{00000000-0008-0000-0000-0000F1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6" name="Line 905">
          <a:extLst>
            <a:ext uri="{FF2B5EF4-FFF2-40B4-BE49-F238E27FC236}">
              <a16:creationId xmlns:a16="http://schemas.microsoft.com/office/drawing/2014/main" id="{00000000-0008-0000-0000-0000F2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7" name="Line 906">
          <a:extLst>
            <a:ext uri="{FF2B5EF4-FFF2-40B4-BE49-F238E27FC236}">
              <a16:creationId xmlns:a16="http://schemas.microsoft.com/office/drawing/2014/main" id="{00000000-0008-0000-0000-0000F3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8" name="Line 907">
          <a:extLst>
            <a:ext uri="{FF2B5EF4-FFF2-40B4-BE49-F238E27FC236}">
              <a16:creationId xmlns:a16="http://schemas.microsoft.com/office/drawing/2014/main" id="{00000000-0008-0000-0000-0000F4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49" name="Line 908">
          <a:extLst>
            <a:ext uri="{FF2B5EF4-FFF2-40B4-BE49-F238E27FC236}">
              <a16:creationId xmlns:a16="http://schemas.microsoft.com/office/drawing/2014/main" id="{00000000-0008-0000-0000-0000F5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0" name="Line 909">
          <a:extLst>
            <a:ext uri="{FF2B5EF4-FFF2-40B4-BE49-F238E27FC236}">
              <a16:creationId xmlns:a16="http://schemas.microsoft.com/office/drawing/2014/main" id="{00000000-0008-0000-0000-0000F6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1" name="Line 910">
          <a:extLst>
            <a:ext uri="{FF2B5EF4-FFF2-40B4-BE49-F238E27FC236}">
              <a16:creationId xmlns:a16="http://schemas.microsoft.com/office/drawing/2014/main" id="{00000000-0008-0000-0000-0000F7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2" name="Line 911">
          <a:extLst>
            <a:ext uri="{FF2B5EF4-FFF2-40B4-BE49-F238E27FC236}">
              <a16:creationId xmlns:a16="http://schemas.microsoft.com/office/drawing/2014/main" id="{00000000-0008-0000-0000-0000F8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3" name="Line 912">
          <a:extLst>
            <a:ext uri="{FF2B5EF4-FFF2-40B4-BE49-F238E27FC236}">
              <a16:creationId xmlns:a16="http://schemas.microsoft.com/office/drawing/2014/main" id="{00000000-0008-0000-0000-0000F9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4" name="Line 913">
          <a:extLst>
            <a:ext uri="{FF2B5EF4-FFF2-40B4-BE49-F238E27FC236}">
              <a16:creationId xmlns:a16="http://schemas.microsoft.com/office/drawing/2014/main" id="{00000000-0008-0000-0000-0000FA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5" name="Line 914">
          <a:extLst>
            <a:ext uri="{FF2B5EF4-FFF2-40B4-BE49-F238E27FC236}">
              <a16:creationId xmlns:a16="http://schemas.microsoft.com/office/drawing/2014/main" id="{00000000-0008-0000-0000-0000FB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6" name="Line 915">
          <a:extLst>
            <a:ext uri="{FF2B5EF4-FFF2-40B4-BE49-F238E27FC236}">
              <a16:creationId xmlns:a16="http://schemas.microsoft.com/office/drawing/2014/main" id="{00000000-0008-0000-0000-0000FC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7" name="Line 916">
          <a:extLst>
            <a:ext uri="{FF2B5EF4-FFF2-40B4-BE49-F238E27FC236}">
              <a16:creationId xmlns:a16="http://schemas.microsoft.com/office/drawing/2014/main" id="{00000000-0008-0000-0000-0000FD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8" name="Line 917">
          <a:extLst>
            <a:ext uri="{FF2B5EF4-FFF2-40B4-BE49-F238E27FC236}">
              <a16:creationId xmlns:a16="http://schemas.microsoft.com/office/drawing/2014/main" id="{00000000-0008-0000-0000-0000FE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59" name="Line 918">
          <a:extLst>
            <a:ext uri="{FF2B5EF4-FFF2-40B4-BE49-F238E27FC236}">
              <a16:creationId xmlns:a16="http://schemas.microsoft.com/office/drawing/2014/main" id="{00000000-0008-0000-0000-0000FF26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0" name="Line 919">
          <a:extLst>
            <a:ext uri="{FF2B5EF4-FFF2-40B4-BE49-F238E27FC236}">
              <a16:creationId xmlns:a16="http://schemas.microsoft.com/office/drawing/2014/main" id="{00000000-0008-0000-0000-00000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1" name="Line 920">
          <a:extLst>
            <a:ext uri="{FF2B5EF4-FFF2-40B4-BE49-F238E27FC236}">
              <a16:creationId xmlns:a16="http://schemas.microsoft.com/office/drawing/2014/main" id="{00000000-0008-0000-0000-00000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2" name="Line 921">
          <a:extLst>
            <a:ext uri="{FF2B5EF4-FFF2-40B4-BE49-F238E27FC236}">
              <a16:creationId xmlns:a16="http://schemas.microsoft.com/office/drawing/2014/main" id="{00000000-0008-0000-0000-00000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3" name="Line 922">
          <a:extLst>
            <a:ext uri="{FF2B5EF4-FFF2-40B4-BE49-F238E27FC236}">
              <a16:creationId xmlns:a16="http://schemas.microsoft.com/office/drawing/2014/main" id="{00000000-0008-0000-0000-00000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4" name="Line 923">
          <a:extLst>
            <a:ext uri="{FF2B5EF4-FFF2-40B4-BE49-F238E27FC236}">
              <a16:creationId xmlns:a16="http://schemas.microsoft.com/office/drawing/2014/main" id="{00000000-0008-0000-0000-00000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5" name="Line 924">
          <a:extLst>
            <a:ext uri="{FF2B5EF4-FFF2-40B4-BE49-F238E27FC236}">
              <a16:creationId xmlns:a16="http://schemas.microsoft.com/office/drawing/2014/main" id="{00000000-0008-0000-0000-00000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6" name="Line 925">
          <a:extLst>
            <a:ext uri="{FF2B5EF4-FFF2-40B4-BE49-F238E27FC236}">
              <a16:creationId xmlns:a16="http://schemas.microsoft.com/office/drawing/2014/main" id="{00000000-0008-0000-0000-00000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7" name="Line 926">
          <a:extLst>
            <a:ext uri="{FF2B5EF4-FFF2-40B4-BE49-F238E27FC236}">
              <a16:creationId xmlns:a16="http://schemas.microsoft.com/office/drawing/2014/main" id="{00000000-0008-0000-0000-00000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8" name="Line 927">
          <a:extLst>
            <a:ext uri="{FF2B5EF4-FFF2-40B4-BE49-F238E27FC236}">
              <a16:creationId xmlns:a16="http://schemas.microsoft.com/office/drawing/2014/main" id="{00000000-0008-0000-0000-00000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69" name="Line 928">
          <a:extLst>
            <a:ext uri="{FF2B5EF4-FFF2-40B4-BE49-F238E27FC236}">
              <a16:creationId xmlns:a16="http://schemas.microsoft.com/office/drawing/2014/main" id="{00000000-0008-0000-0000-00000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0" name="Line 929">
          <a:extLst>
            <a:ext uri="{FF2B5EF4-FFF2-40B4-BE49-F238E27FC236}">
              <a16:creationId xmlns:a16="http://schemas.microsoft.com/office/drawing/2014/main" id="{00000000-0008-0000-0000-00000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1" name="Line 930">
          <a:extLst>
            <a:ext uri="{FF2B5EF4-FFF2-40B4-BE49-F238E27FC236}">
              <a16:creationId xmlns:a16="http://schemas.microsoft.com/office/drawing/2014/main" id="{00000000-0008-0000-0000-00000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2" name="Line 931">
          <a:extLst>
            <a:ext uri="{FF2B5EF4-FFF2-40B4-BE49-F238E27FC236}">
              <a16:creationId xmlns:a16="http://schemas.microsoft.com/office/drawing/2014/main" id="{00000000-0008-0000-0000-00000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3" name="Line 932">
          <a:extLst>
            <a:ext uri="{FF2B5EF4-FFF2-40B4-BE49-F238E27FC236}">
              <a16:creationId xmlns:a16="http://schemas.microsoft.com/office/drawing/2014/main" id="{00000000-0008-0000-0000-00000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4" name="Line 933">
          <a:extLst>
            <a:ext uri="{FF2B5EF4-FFF2-40B4-BE49-F238E27FC236}">
              <a16:creationId xmlns:a16="http://schemas.microsoft.com/office/drawing/2014/main" id="{00000000-0008-0000-0000-00000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5" name="Line 934">
          <a:extLst>
            <a:ext uri="{FF2B5EF4-FFF2-40B4-BE49-F238E27FC236}">
              <a16:creationId xmlns:a16="http://schemas.microsoft.com/office/drawing/2014/main" id="{00000000-0008-0000-0000-00000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6" name="Line 935">
          <a:extLst>
            <a:ext uri="{FF2B5EF4-FFF2-40B4-BE49-F238E27FC236}">
              <a16:creationId xmlns:a16="http://schemas.microsoft.com/office/drawing/2014/main" id="{00000000-0008-0000-0000-00001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7" name="Line 936">
          <a:extLst>
            <a:ext uri="{FF2B5EF4-FFF2-40B4-BE49-F238E27FC236}">
              <a16:creationId xmlns:a16="http://schemas.microsoft.com/office/drawing/2014/main" id="{00000000-0008-0000-0000-00001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8" name="Line 937">
          <a:extLst>
            <a:ext uri="{FF2B5EF4-FFF2-40B4-BE49-F238E27FC236}">
              <a16:creationId xmlns:a16="http://schemas.microsoft.com/office/drawing/2014/main" id="{00000000-0008-0000-0000-00001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79" name="Line 938">
          <a:extLst>
            <a:ext uri="{FF2B5EF4-FFF2-40B4-BE49-F238E27FC236}">
              <a16:creationId xmlns:a16="http://schemas.microsoft.com/office/drawing/2014/main" id="{00000000-0008-0000-0000-00001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0" name="Line 939">
          <a:extLst>
            <a:ext uri="{FF2B5EF4-FFF2-40B4-BE49-F238E27FC236}">
              <a16:creationId xmlns:a16="http://schemas.microsoft.com/office/drawing/2014/main" id="{00000000-0008-0000-0000-00001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1" name="Line 940">
          <a:extLst>
            <a:ext uri="{FF2B5EF4-FFF2-40B4-BE49-F238E27FC236}">
              <a16:creationId xmlns:a16="http://schemas.microsoft.com/office/drawing/2014/main" id="{00000000-0008-0000-0000-00001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2" name="Line 941">
          <a:extLst>
            <a:ext uri="{FF2B5EF4-FFF2-40B4-BE49-F238E27FC236}">
              <a16:creationId xmlns:a16="http://schemas.microsoft.com/office/drawing/2014/main" id="{00000000-0008-0000-0000-00001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3" name="Line 942">
          <a:extLst>
            <a:ext uri="{FF2B5EF4-FFF2-40B4-BE49-F238E27FC236}">
              <a16:creationId xmlns:a16="http://schemas.microsoft.com/office/drawing/2014/main" id="{00000000-0008-0000-0000-00001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4" name="Line 943">
          <a:extLst>
            <a:ext uri="{FF2B5EF4-FFF2-40B4-BE49-F238E27FC236}">
              <a16:creationId xmlns:a16="http://schemas.microsoft.com/office/drawing/2014/main" id="{00000000-0008-0000-0000-00001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5" name="Line 944">
          <a:extLst>
            <a:ext uri="{FF2B5EF4-FFF2-40B4-BE49-F238E27FC236}">
              <a16:creationId xmlns:a16="http://schemas.microsoft.com/office/drawing/2014/main" id="{00000000-0008-0000-0000-00001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6" name="Line 945">
          <a:extLst>
            <a:ext uri="{FF2B5EF4-FFF2-40B4-BE49-F238E27FC236}">
              <a16:creationId xmlns:a16="http://schemas.microsoft.com/office/drawing/2014/main" id="{00000000-0008-0000-0000-00001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7" name="Line 946">
          <a:extLst>
            <a:ext uri="{FF2B5EF4-FFF2-40B4-BE49-F238E27FC236}">
              <a16:creationId xmlns:a16="http://schemas.microsoft.com/office/drawing/2014/main" id="{00000000-0008-0000-0000-00001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8" name="Line 947">
          <a:extLst>
            <a:ext uri="{FF2B5EF4-FFF2-40B4-BE49-F238E27FC236}">
              <a16:creationId xmlns:a16="http://schemas.microsoft.com/office/drawing/2014/main" id="{00000000-0008-0000-0000-00001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89" name="Line 948">
          <a:extLst>
            <a:ext uri="{FF2B5EF4-FFF2-40B4-BE49-F238E27FC236}">
              <a16:creationId xmlns:a16="http://schemas.microsoft.com/office/drawing/2014/main" id="{00000000-0008-0000-0000-00001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90" name="Line 949">
          <a:extLst>
            <a:ext uri="{FF2B5EF4-FFF2-40B4-BE49-F238E27FC236}">
              <a16:creationId xmlns:a16="http://schemas.microsoft.com/office/drawing/2014/main" id="{00000000-0008-0000-0000-00001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91" name="Line 950">
          <a:extLst>
            <a:ext uri="{FF2B5EF4-FFF2-40B4-BE49-F238E27FC236}">
              <a16:creationId xmlns:a16="http://schemas.microsoft.com/office/drawing/2014/main" id="{00000000-0008-0000-0000-00001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6992" name="Line 951">
          <a:extLst>
            <a:ext uri="{FF2B5EF4-FFF2-40B4-BE49-F238E27FC236}">
              <a16:creationId xmlns:a16="http://schemas.microsoft.com/office/drawing/2014/main" id="{00000000-0008-0000-0000-00002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73" name="Line 1032">
          <a:extLst>
            <a:ext uri="{FF2B5EF4-FFF2-40B4-BE49-F238E27FC236}">
              <a16:creationId xmlns:a16="http://schemas.microsoft.com/office/drawing/2014/main" id="{00000000-0008-0000-0000-00007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74" name="Line 1033">
          <a:extLst>
            <a:ext uri="{FF2B5EF4-FFF2-40B4-BE49-F238E27FC236}">
              <a16:creationId xmlns:a16="http://schemas.microsoft.com/office/drawing/2014/main" id="{00000000-0008-0000-0000-00007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75" name="Line 1034">
          <a:extLst>
            <a:ext uri="{FF2B5EF4-FFF2-40B4-BE49-F238E27FC236}">
              <a16:creationId xmlns:a16="http://schemas.microsoft.com/office/drawing/2014/main" id="{00000000-0008-0000-0000-00007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76" name="Line 1035">
          <a:extLst>
            <a:ext uri="{FF2B5EF4-FFF2-40B4-BE49-F238E27FC236}">
              <a16:creationId xmlns:a16="http://schemas.microsoft.com/office/drawing/2014/main" id="{00000000-0008-0000-0000-00007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77" name="Line 1036">
          <a:extLst>
            <a:ext uri="{FF2B5EF4-FFF2-40B4-BE49-F238E27FC236}">
              <a16:creationId xmlns:a16="http://schemas.microsoft.com/office/drawing/2014/main" id="{00000000-0008-0000-0000-00007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78" name="Line 1037">
          <a:extLst>
            <a:ext uri="{FF2B5EF4-FFF2-40B4-BE49-F238E27FC236}">
              <a16:creationId xmlns:a16="http://schemas.microsoft.com/office/drawing/2014/main" id="{00000000-0008-0000-0000-00007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79" name="Line 1038">
          <a:extLst>
            <a:ext uri="{FF2B5EF4-FFF2-40B4-BE49-F238E27FC236}">
              <a16:creationId xmlns:a16="http://schemas.microsoft.com/office/drawing/2014/main" id="{00000000-0008-0000-0000-00007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0" name="Line 1039">
          <a:extLst>
            <a:ext uri="{FF2B5EF4-FFF2-40B4-BE49-F238E27FC236}">
              <a16:creationId xmlns:a16="http://schemas.microsoft.com/office/drawing/2014/main" id="{00000000-0008-0000-0000-00007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1" name="Line 1040">
          <a:extLst>
            <a:ext uri="{FF2B5EF4-FFF2-40B4-BE49-F238E27FC236}">
              <a16:creationId xmlns:a16="http://schemas.microsoft.com/office/drawing/2014/main" id="{00000000-0008-0000-0000-00007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2" name="Line 1041">
          <a:extLst>
            <a:ext uri="{FF2B5EF4-FFF2-40B4-BE49-F238E27FC236}">
              <a16:creationId xmlns:a16="http://schemas.microsoft.com/office/drawing/2014/main" id="{00000000-0008-0000-0000-00007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3" name="Line 1042">
          <a:extLst>
            <a:ext uri="{FF2B5EF4-FFF2-40B4-BE49-F238E27FC236}">
              <a16:creationId xmlns:a16="http://schemas.microsoft.com/office/drawing/2014/main" id="{00000000-0008-0000-0000-00007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4" name="Line 1043">
          <a:extLst>
            <a:ext uri="{FF2B5EF4-FFF2-40B4-BE49-F238E27FC236}">
              <a16:creationId xmlns:a16="http://schemas.microsoft.com/office/drawing/2014/main" id="{00000000-0008-0000-0000-00007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5" name="Line 1044">
          <a:extLst>
            <a:ext uri="{FF2B5EF4-FFF2-40B4-BE49-F238E27FC236}">
              <a16:creationId xmlns:a16="http://schemas.microsoft.com/office/drawing/2014/main" id="{00000000-0008-0000-0000-00007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6" name="Line 1045">
          <a:extLst>
            <a:ext uri="{FF2B5EF4-FFF2-40B4-BE49-F238E27FC236}">
              <a16:creationId xmlns:a16="http://schemas.microsoft.com/office/drawing/2014/main" id="{00000000-0008-0000-0000-00007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7" name="Line 1046">
          <a:extLst>
            <a:ext uri="{FF2B5EF4-FFF2-40B4-BE49-F238E27FC236}">
              <a16:creationId xmlns:a16="http://schemas.microsoft.com/office/drawing/2014/main" id="{00000000-0008-0000-0000-00007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8" name="Line 1047">
          <a:extLst>
            <a:ext uri="{FF2B5EF4-FFF2-40B4-BE49-F238E27FC236}">
              <a16:creationId xmlns:a16="http://schemas.microsoft.com/office/drawing/2014/main" id="{00000000-0008-0000-0000-00008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89" name="Line 1048">
          <a:extLst>
            <a:ext uri="{FF2B5EF4-FFF2-40B4-BE49-F238E27FC236}">
              <a16:creationId xmlns:a16="http://schemas.microsoft.com/office/drawing/2014/main" id="{00000000-0008-0000-0000-00008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0" name="Line 1049">
          <a:extLst>
            <a:ext uri="{FF2B5EF4-FFF2-40B4-BE49-F238E27FC236}">
              <a16:creationId xmlns:a16="http://schemas.microsoft.com/office/drawing/2014/main" id="{00000000-0008-0000-0000-00008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1" name="Line 1050">
          <a:extLst>
            <a:ext uri="{FF2B5EF4-FFF2-40B4-BE49-F238E27FC236}">
              <a16:creationId xmlns:a16="http://schemas.microsoft.com/office/drawing/2014/main" id="{00000000-0008-0000-0000-00008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2" name="Line 1051">
          <a:extLst>
            <a:ext uri="{FF2B5EF4-FFF2-40B4-BE49-F238E27FC236}">
              <a16:creationId xmlns:a16="http://schemas.microsoft.com/office/drawing/2014/main" id="{00000000-0008-0000-0000-00008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3" name="Line 1052">
          <a:extLst>
            <a:ext uri="{FF2B5EF4-FFF2-40B4-BE49-F238E27FC236}">
              <a16:creationId xmlns:a16="http://schemas.microsoft.com/office/drawing/2014/main" id="{00000000-0008-0000-0000-00008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4" name="Line 1053">
          <a:extLst>
            <a:ext uri="{FF2B5EF4-FFF2-40B4-BE49-F238E27FC236}">
              <a16:creationId xmlns:a16="http://schemas.microsoft.com/office/drawing/2014/main" id="{00000000-0008-0000-0000-00008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5" name="Line 1054">
          <a:extLst>
            <a:ext uri="{FF2B5EF4-FFF2-40B4-BE49-F238E27FC236}">
              <a16:creationId xmlns:a16="http://schemas.microsoft.com/office/drawing/2014/main" id="{00000000-0008-0000-0000-00008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6" name="Line 1055">
          <a:extLst>
            <a:ext uri="{FF2B5EF4-FFF2-40B4-BE49-F238E27FC236}">
              <a16:creationId xmlns:a16="http://schemas.microsoft.com/office/drawing/2014/main" id="{00000000-0008-0000-0000-00008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7" name="Line 1056">
          <a:extLst>
            <a:ext uri="{FF2B5EF4-FFF2-40B4-BE49-F238E27FC236}">
              <a16:creationId xmlns:a16="http://schemas.microsoft.com/office/drawing/2014/main" id="{00000000-0008-0000-0000-00008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8" name="Line 1057">
          <a:extLst>
            <a:ext uri="{FF2B5EF4-FFF2-40B4-BE49-F238E27FC236}">
              <a16:creationId xmlns:a16="http://schemas.microsoft.com/office/drawing/2014/main" id="{00000000-0008-0000-0000-00008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099" name="Line 1058">
          <a:extLst>
            <a:ext uri="{FF2B5EF4-FFF2-40B4-BE49-F238E27FC236}">
              <a16:creationId xmlns:a16="http://schemas.microsoft.com/office/drawing/2014/main" id="{00000000-0008-0000-0000-00008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0" name="Line 1059">
          <a:extLst>
            <a:ext uri="{FF2B5EF4-FFF2-40B4-BE49-F238E27FC236}">
              <a16:creationId xmlns:a16="http://schemas.microsoft.com/office/drawing/2014/main" id="{00000000-0008-0000-0000-00008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1" name="Line 1060">
          <a:extLst>
            <a:ext uri="{FF2B5EF4-FFF2-40B4-BE49-F238E27FC236}">
              <a16:creationId xmlns:a16="http://schemas.microsoft.com/office/drawing/2014/main" id="{00000000-0008-0000-0000-00008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2" name="Line 1061">
          <a:extLst>
            <a:ext uri="{FF2B5EF4-FFF2-40B4-BE49-F238E27FC236}">
              <a16:creationId xmlns:a16="http://schemas.microsoft.com/office/drawing/2014/main" id="{00000000-0008-0000-0000-00008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3" name="Line 1062">
          <a:extLst>
            <a:ext uri="{FF2B5EF4-FFF2-40B4-BE49-F238E27FC236}">
              <a16:creationId xmlns:a16="http://schemas.microsoft.com/office/drawing/2014/main" id="{00000000-0008-0000-0000-00008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4" name="Line 1063">
          <a:extLst>
            <a:ext uri="{FF2B5EF4-FFF2-40B4-BE49-F238E27FC236}">
              <a16:creationId xmlns:a16="http://schemas.microsoft.com/office/drawing/2014/main" id="{00000000-0008-0000-0000-00009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5" name="Line 1064">
          <a:extLst>
            <a:ext uri="{FF2B5EF4-FFF2-40B4-BE49-F238E27FC236}">
              <a16:creationId xmlns:a16="http://schemas.microsoft.com/office/drawing/2014/main" id="{00000000-0008-0000-0000-00009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6" name="Line 1065">
          <a:extLst>
            <a:ext uri="{FF2B5EF4-FFF2-40B4-BE49-F238E27FC236}">
              <a16:creationId xmlns:a16="http://schemas.microsoft.com/office/drawing/2014/main" id="{00000000-0008-0000-0000-00009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7" name="Line 1066">
          <a:extLst>
            <a:ext uri="{FF2B5EF4-FFF2-40B4-BE49-F238E27FC236}">
              <a16:creationId xmlns:a16="http://schemas.microsoft.com/office/drawing/2014/main" id="{00000000-0008-0000-0000-00009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8" name="Line 1067">
          <a:extLst>
            <a:ext uri="{FF2B5EF4-FFF2-40B4-BE49-F238E27FC236}">
              <a16:creationId xmlns:a16="http://schemas.microsoft.com/office/drawing/2014/main" id="{00000000-0008-0000-0000-00009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09" name="Line 1068">
          <a:extLst>
            <a:ext uri="{FF2B5EF4-FFF2-40B4-BE49-F238E27FC236}">
              <a16:creationId xmlns:a16="http://schemas.microsoft.com/office/drawing/2014/main" id="{00000000-0008-0000-0000-00009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0" name="Line 1069">
          <a:extLst>
            <a:ext uri="{FF2B5EF4-FFF2-40B4-BE49-F238E27FC236}">
              <a16:creationId xmlns:a16="http://schemas.microsoft.com/office/drawing/2014/main" id="{00000000-0008-0000-0000-00009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1" name="Line 1070">
          <a:extLst>
            <a:ext uri="{FF2B5EF4-FFF2-40B4-BE49-F238E27FC236}">
              <a16:creationId xmlns:a16="http://schemas.microsoft.com/office/drawing/2014/main" id="{00000000-0008-0000-0000-00009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2" name="Line 1071">
          <a:extLst>
            <a:ext uri="{FF2B5EF4-FFF2-40B4-BE49-F238E27FC236}">
              <a16:creationId xmlns:a16="http://schemas.microsoft.com/office/drawing/2014/main" id="{00000000-0008-0000-0000-00009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3" name="Line 1072">
          <a:extLst>
            <a:ext uri="{FF2B5EF4-FFF2-40B4-BE49-F238E27FC236}">
              <a16:creationId xmlns:a16="http://schemas.microsoft.com/office/drawing/2014/main" id="{00000000-0008-0000-0000-00009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4" name="Line 1073">
          <a:extLst>
            <a:ext uri="{FF2B5EF4-FFF2-40B4-BE49-F238E27FC236}">
              <a16:creationId xmlns:a16="http://schemas.microsoft.com/office/drawing/2014/main" id="{00000000-0008-0000-0000-00009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5" name="Line 1074">
          <a:extLst>
            <a:ext uri="{FF2B5EF4-FFF2-40B4-BE49-F238E27FC236}">
              <a16:creationId xmlns:a16="http://schemas.microsoft.com/office/drawing/2014/main" id="{00000000-0008-0000-0000-00009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6" name="Line 1075">
          <a:extLst>
            <a:ext uri="{FF2B5EF4-FFF2-40B4-BE49-F238E27FC236}">
              <a16:creationId xmlns:a16="http://schemas.microsoft.com/office/drawing/2014/main" id="{00000000-0008-0000-0000-00009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7" name="Line 1076">
          <a:extLst>
            <a:ext uri="{FF2B5EF4-FFF2-40B4-BE49-F238E27FC236}">
              <a16:creationId xmlns:a16="http://schemas.microsoft.com/office/drawing/2014/main" id="{00000000-0008-0000-0000-00009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8" name="Line 1077">
          <a:extLst>
            <a:ext uri="{FF2B5EF4-FFF2-40B4-BE49-F238E27FC236}">
              <a16:creationId xmlns:a16="http://schemas.microsoft.com/office/drawing/2014/main" id="{00000000-0008-0000-0000-00009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19" name="Line 1078">
          <a:extLst>
            <a:ext uri="{FF2B5EF4-FFF2-40B4-BE49-F238E27FC236}">
              <a16:creationId xmlns:a16="http://schemas.microsoft.com/office/drawing/2014/main" id="{00000000-0008-0000-0000-00009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0" name="Line 1079">
          <a:extLst>
            <a:ext uri="{FF2B5EF4-FFF2-40B4-BE49-F238E27FC236}">
              <a16:creationId xmlns:a16="http://schemas.microsoft.com/office/drawing/2014/main" id="{00000000-0008-0000-0000-0000A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1" name="Line 1080">
          <a:extLst>
            <a:ext uri="{FF2B5EF4-FFF2-40B4-BE49-F238E27FC236}">
              <a16:creationId xmlns:a16="http://schemas.microsoft.com/office/drawing/2014/main" id="{00000000-0008-0000-0000-0000A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2" name="Line 1081">
          <a:extLst>
            <a:ext uri="{FF2B5EF4-FFF2-40B4-BE49-F238E27FC236}">
              <a16:creationId xmlns:a16="http://schemas.microsoft.com/office/drawing/2014/main" id="{00000000-0008-0000-0000-0000A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3" name="Line 1082">
          <a:extLst>
            <a:ext uri="{FF2B5EF4-FFF2-40B4-BE49-F238E27FC236}">
              <a16:creationId xmlns:a16="http://schemas.microsoft.com/office/drawing/2014/main" id="{00000000-0008-0000-0000-0000A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4" name="Line 1083">
          <a:extLst>
            <a:ext uri="{FF2B5EF4-FFF2-40B4-BE49-F238E27FC236}">
              <a16:creationId xmlns:a16="http://schemas.microsoft.com/office/drawing/2014/main" id="{00000000-0008-0000-0000-0000A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5" name="Line 1084">
          <a:extLst>
            <a:ext uri="{FF2B5EF4-FFF2-40B4-BE49-F238E27FC236}">
              <a16:creationId xmlns:a16="http://schemas.microsoft.com/office/drawing/2014/main" id="{00000000-0008-0000-0000-0000A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6" name="Line 1085">
          <a:extLst>
            <a:ext uri="{FF2B5EF4-FFF2-40B4-BE49-F238E27FC236}">
              <a16:creationId xmlns:a16="http://schemas.microsoft.com/office/drawing/2014/main" id="{00000000-0008-0000-0000-0000A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7" name="Line 1086">
          <a:extLst>
            <a:ext uri="{FF2B5EF4-FFF2-40B4-BE49-F238E27FC236}">
              <a16:creationId xmlns:a16="http://schemas.microsoft.com/office/drawing/2014/main" id="{00000000-0008-0000-0000-0000A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8" name="Line 1087">
          <a:extLst>
            <a:ext uri="{FF2B5EF4-FFF2-40B4-BE49-F238E27FC236}">
              <a16:creationId xmlns:a16="http://schemas.microsoft.com/office/drawing/2014/main" id="{00000000-0008-0000-0000-0000A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29" name="Line 1088">
          <a:extLst>
            <a:ext uri="{FF2B5EF4-FFF2-40B4-BE49-F238E27FC236}">
              <a16:creationId xmlns:a16="http://schemas.microsoft.com/office/drawing/2014/main" id="{00000000-0008-0000-0000-0000A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0" name="Line 1089">
          <a:extLst>
            <a:ext uri="{FF2B5EF4-FFF2-40B4-BE49-F238E27FC236}">
              <a16:creationId xmlns:a16="http://schemas.microsoft.com/office/drawing/2014/main" id="{00000000-0008-0000-0000-0000A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1" name="Line 1090">
          <a:extLst>
            <a:ext uri="{FF2B5EF4-FFF2-40B4-BE49-F238E27FC236}">
              <a16:creationId xmlns:a16="http://schemas.microsoft.com/office/drawing/2014/main" id="{00000000-0008-0000-0000-0000A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2" name="Line 1091">
          <a:extLst>
            <a:ext uri="{FF2B5EF4-FFF2-40B4-BE49-F238E27FC236}">
              <a16:creationId xmlns:a16="http://schemas.microsoft.com/office/drawing/2014/main" id="{00000000-0008-0000-0000-0000A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3" name="Line 1092">
          <a:extLst>
            <a:ext uri="{FF2B5EF4-FFF2-40B4-BE49-F238E27FC236}">
              <a16:creationId xmlns:a16="http://schemas.microsoft.com/office/drawing/2014/main" id="{00000000-0008-0000-0000-0000A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4" name="Line 1093">
          <a:extLst>
            <a:ext uri="{FF2B5EF4-FFF2-40B4-BE49-F238E27FC236}">
              <a16:creationId xmlns:a16="http://schemas.microsoft.com/office/drawing/2014/main" id="{00000000-0008-0000-0000-0000A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5" name="Line 1094">
          <a:extLst>
            <a:ext uri="{FF2B5EF4-FFF2-40B4-BE49-F238E27FC236}">
              <a16:creationId xmlns:a16="http://schemas.microsoft.com/office/drawing/2014/main" id="{00000000-0008-0000-0000-0000A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6" name="Line 1095">
          <a:extLst>
            <a:ext uri="{FF2B5EF4-FFF2-40B4-BE49-F238E27FC236}">
              <a16:creationId xmlns:a16="http://schemas.microsoft.com/office/drawing/2014/main" id="{00000000-0008-0000-0000-0000B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7" name="Line 1096">
          <a:extLst>
            <a:ext uri="{FF2B5EF4-FFF2-40B4-BE49-F238E27FC236}">
              <a16:creationId xmlns:a16="http://schemas.microsoft.com/office/drawing/2014/main" id="{00000000-0008-0000-0000-0000B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8" name="Line 1097">
          <a:extLst>
            <a:ext uri="{FF2B5EF4-FFF2-40B4-BE49-F238E27FC236}">
              <a16:creationId xmlns:a16="http://schemas.microsoft.com/office/drawing/2014/main" id="{00000000-0008-0000-0000-0000B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39" name="Line 1098">
          <a:extLst>
            <a:ext uri="{FF2B5EF4-FFF2-40B4-BE49-F238E27FC236}">
              <a16:creationId xmlns:a16="http://schemas.microsoft.com/office/drawing/2014/main" id="{00000000-0008-0000-0000-0000B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0" name="Line 1099">
          <a:extLst>
            <a:ext uri="{FF2B5EF4-FFF2-40B4-BE49-F238E27FC236}">
              <a16:creationId xmlns:a16="http://schemas.microsoft.com/office/drawing/2014/main" id="{00000000-0008-0000-0000-0000B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1" name="Line 1100">
          <a:extLst>
            <a:ext uri="{FF2B5EF4-FFF2-40B4-BE49-F238E27FC236}">
              <a16:creationId xmlns:a16="http://schemas.microsoft.com/office/drawing/2014/main" id="{00000000-0008-0000-0000-0000B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2" name="Line 1101">
          <a:extLst>
            <a:ext uri="{FF2B5EF4-FFF2-40B4-BE49-F238E27FC236}">
              <a16:creationId xmlns:a16="http://schemas.microsoft.com/office/drawing/2014/main" id="{00000000-0008-0000-0000-0000B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3" name="Line 1102">
          <a:extLst>
            <a:ext uri="{FF2B5EF4-FFF2-40B4-BE49-F238E27FC236}">
              <a16:creationId xmlns:a16="http://schemas.microsoft.com/office/drawing/2014/main" id="{00000000-0008-0000-0000-0000B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4" name="Line 1103">
          <a:extLst>
            <a:ext uri="{FF2B5EF4-FFF2-40B4-BE49-F238E27FC236}">
              <a16:creationId xmlns:a16="http://schemas.microsoft.com/office/drawing/2014/main" id="{00000000-0008-0000-0000-0000B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5" name="Line 1104">
          <a:extLst>
            <a:ext uri="{FF2B5EF4-FFF2-40B4-BE49-F238E27FC236}">
              <a16:creationId xmlns:a16="http://schemas.microsoft.com/office/drawing/2014/main" id="{00000000-0008-0000-0000-0000B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6" name="Line 1105">
          <a:extLst>
            <a:ext uri="{FF2B5EF4-FFF2-40B4-BE49-F238E27FC236}">
              <a16:creationId xmlns:a16="http://schemas.microsoft.com/office/drawing/2014/main" id="{00000000-0008-0000-0000-0000B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7" name="Line 1106">
          <a:extLst>
            <a:ext uri="{FF2B5EF4-FFF2-40B4-BE49-F238E27FC236}">
              <a16:creationId xmlns:a16="http://schemas.microsoft.com/office/drawing/2014/main" id="{00000000-0008-0000-0000-0000B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8" name="Line 1107">
          <a:extLst>
            <a:ext uri="{FF2B5EF4-FFF2-40B4-BE49-F238E27FC236}">
              <a16:creationId xmlns:a16="http://schemas.microsoft.com/office/drawing/2014/main" id="{00000000-0008-0000-0000-0000B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49" name="Line 1108">
          <a:extLst>
            <a:ext uri="{FF2B5EF4-FFF2-40B4-BE49-F238E27FC236}">
              <a16:creationId xmlns:a16="http://schemas.microsoft.com/office/drawing/2014/main" id="{00000000-0008-0000-0000-0000B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0" name="Line 1109">
          <a:extLst>
            <a:ext uri="{FF2B5EF4-FFF2-40B4-BE49-F238E27FC236}">
              <a16:creationId xmlns:a16="http://schemas.microsoft.com/office/drawing/2014/main" id="{00000000-0008-0000-0000-0000B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1" name="Line 1110">
          <a:extLst>
            <a:ext uri="{FF2B5EF4-FFF2-40B4-BE49-F238E27FC236}">
              <a16:creationId xmlns:a16="http://schemas.microsoft.com/office/drawing/2014/main" id="{00000000-0008-0000-0000-0000B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2" name="Line 1111">
          <a:extLst>
            <a:ext uri="{FF2B5EF4-FFF2-40B4-BE49-F238E27FC236}">
              <a16:creationId xmlns:a16="http://schemas.microsoft.com/office/drawing/2014/main" id="{00000000-0008-0000-0000-0000C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3" name="Line 1112">
          <a:extLst>
            <a:ext uri="{FF2B5EF4-FFF2-40B4-BE49-F238E27FC236}">
              <a16:creationId xmlns:a16="http://schemas.microsoft.com/office/drawing/2014/main" id="{00000000-0008-0000-0000-0000C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4" name="Line 1113">
          <a:extLst>
            <a:ext uri="{FF2B5EF4-FFF2-40B4-BE49-F238E27FC236}">
              <a16:creationId xmlns:a16="http://schemas.microsoft.com/office/drawing/2014/main" id="{00000000-0008-0000-0000-0000C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5" name="Line 1114">
          <a:extLst>
            <a:ext uri="{FF2B5EF4-FFF2-40B4-BE49-F238E27FC236}">
              <a16:creationId xmlns:a16="http://schemas.microsoft.com/office/drawing/2014/main" id="{00000000-0008-0000-0000-0000C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6" name="Line 1115">
          <a:extLst>
            <a:ext uri="{FF2B5EF4-FFF2-40B4-BE49-F238E27FC236}">
              <a16:creationId xmlns:a16="http://schemas.microsoft.com/office/drawing/2014/main" id="{00000000-0008-0000-0000-0000C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7" name="Line 1116">
          <a:extLst>
            <a:ext uri="{FF2B5EF4-FFF2-40B4-BE49-F238E27FC236}">
              <a16:creationId xmlns:a16="http://schemas.microsoft.com/office/drawing/2014/main" id="{00000000-0008-0000-0000-0000C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8" name="Line 1117">
          <a:extLst>
            <a:ext uri="{FF2B5EF4-FFF2-40B4-BE49-F238E27FC236}">
              <a16:creationId xmlns:a16="http://schemas.microsoft.com/office/drawing/2014/main" id="{00000000-0008-0000-0000-0000C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59" name="Line 1118">
          <a:extLst>
            <a:ext uri="{FF2B5EF4-FFF2-40B4-BE49-F238E27FC236}">
              <a16:creationId xmlns:a16="http://schemas.microsoft.com/office/drawing/2014/main" id="{00000000-0008-0000-0000-0000C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0" name="Line 1119">
          <a:extLst>
            <a:ext uri="{FF2B5EF4-FFF2-40B4-BE49-F238E27FC236}">
              <a16:creationId xmlns:a16="http://schemas.microsoft.com/office/drawing/2014/main" id="{00000000-0008-0000-0000-0000C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1" name="Line 1120">
          <a:extLst>
            <a:ext uri="{FF2B5EF4-FFF2-40B4-BE49-F238E27FC236}">
              <a16:creationId xmlns:a16="http://schemas.microsoft.com/office/drawing/2014/main" id="{00000000-0008-0000-0000-0000C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2" name="Line 1121">
          <a:extLst>
            <a:ext uri="{FF2B5EF4-FFF2-40B4-BE49-F238E27FC236}">
              <a16:creationId xmlns:a16="http://schemas.microsoft.com/office/drawing/2014/main" id="{00000000-0008-0000-0000-0000C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3" name="Line 1122">
          <a:extLst>
            <a:ext uri="{FF2B5EF4-FFF2-40B4-BE49-F238E27FC236}">
              <a16:creationId xmlns:a16="http://schemas.microsoft.com/office/drawing/2014/main" id="{00000000-0008-0000-0000-0000C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4" name="Line 1123">
          <a:extLst>
            <a:ext uri="{FF2B5EF4-FFF2-40B4-BE49-F238E27FC236}">
              <a16:creationId xmlns:a16="http://schemas.microsoft.com/office/drawing/2014/main" id="{00000000-0008-0000-0000-0000C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5" name="Line 1124">
          <a:extLst>
            <a:ext uri="{FF2B5EF4-FFF2-40B4-BE49-F238E27FC236}">
              <a16:creationId xmlns:a16="http://schemas.microsoft.com/office/drawing/2014/main" id="{00000000-0008-0000-0000-0000C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6" name="Line 1125">
          <a:extLst>
            <a:ext uri="{FF2B5EF4-FFF2-40B4-BE49-F238E27FC236}">
              <a16:creationId xmlns:a16="http://schemas.microsoft.com/office/drawing/2014/main" id="{00000000-0008-0000-0000-0000C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7" name="Line 1126">
          <a:extLst>
            <a:ext uri="{FF2B5EF4-FFF2-40B4-BE49-F238E27FC236}">
              <a16:creationId xmlns:a16="http://schemas.microsoft.com/office/drawing/2014/main" id="{00000000-0008-0000-0000-0000C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8" name="Line 1127">
          <a:extLst>
            <a:ext uri="{FF2B5EF4-FFF2-40B4-BE49-F238E27FC236}">
              <a16:creationId xmlns:a16="http://schemas.microsoft.com/office/drawing/2014/main" id="{00000000-0008-0000-0000-0000D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69" name="Line 1128">
          <a:extLst>
            <a:ext uri="{FF2B5EF4-FFF2-40B4-BE49-F238E27FC236}">
              <a16:creationId xmlns:a16="http://schemas.microsoft.com/office/drawing/2014/main" id="{00000000-0008-0000-0000-0000D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0" name="Line 1129">
          <a:extLst>
            <a:ext uri="{FF2B5EF4-FFF2-40B4-BE49-F238E27FC236}">
              <a16:creationId xmlns:a16="http://schemas.microsoft.com/office/drawing/2014/main" id="{00000000-0008-0000-0000-0000D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1" name="Line 1130">
          <a:extLst>
            <a:ext uri="{FF2B5EF4-FFF2-40B4-BE49-F238E27FC236}">
              <a16:creationId xmlns:a16="http://schemas.microsoft.com/office/drawing/2014/main" id="{00000000-0008-0000-0000-0000D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2" name="Line 1131">
          <a:extLst>
            <a:ext uri="{FF2B5EF4-FFF2-40B4-BE49-F238E27FC236}">
              <a16:creationId xmlns:a16="http://schemas.microsoft.com/office/drawing/2014/main" id="{00000000-0008-0000-0000-0000D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3" name="Line 1132">
          <a:extLst>
            <a:ext uri="{FF2B5EF4-FFF2-40B4-BE49-F238E27FC236}">
              <a16:creationId xmlns:a16="http://schemas.microsoft.com/office/drawing/2014/main" id="{00000000-0008-0000-0000-0000D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4" name="Line 1133">
          <a:extLst>
            <a:ext uri="{FF2B5EF4-FFF2-40B4-BE49-F238E27FC236}">
              <a16:creationId xmlns:a16="http://schemas.microsoft.com/office/drawing/2014/main" id="{00000000-0008-0000-0000-0000D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5" name="Line 1134">
          <a:extLst>
            <a:ext uri="{FF2B5EF4-FFF2-40B4-BE49-F238E27FC236}">
              <a16:creationId xmlns:a16="http://schemas.microsoft.com/office/drawing/2014/main" id="{00000000-0008-0000-0000-0000D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6" name="Line 1135">
          <a:extLst>
            <a:ext uri="{FF2B5EF4-FFF2-40B4-BE49-F238E27FC236}">
              <a16:creationId xmlns:a16="http://schemas.microsoft.com/office/drawing/2014/main" id="{00000000-0008-0000-0000-0000D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7" name="Line 1136">
          <a:extLst>
            <a:ext uri="{FF2B5EF4-FFF2-40B4-BE49-F238E27FC236}">
              <a16:creationId xmlns:a16="http://schemas.microsoft.com/office/drawing/2014/main" id="{00000000-0008-0000-0000-0000D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8" name="Line 1137">
          <a:extLst>
            <a:ext uri="{FF2B5EF4-FFF2-40B4-BE49-F238E27FC236}">
              <a16:creationId xmlns:a16="http://schemas.microsoft.com/office/drawing/2014/main" id="{00000000-0008-0000-0000-0000D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79" name="Line 1138">
          <a:extLst>
            <a:ext uri="{FF2B5EF4-FFF2-40B4-BE49-F238E27FC236}">
              <a16:creationId xmlns:a16="http://schemas.microsoft.com/office/drawing/2014/main" id="{00000000-0008-0000-0000-0000D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0" name="Line 1139">
          <a:extLst>
            <a:ext uri="{FF2B5EF4-FFF2-40B4-BE49-F238E27FC236}">
              <a16:creationId xmlns:a16="http://schemas.microsoft.com/office/drawing/2014/main" id="{00000000-0008-0000-0000-0000D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1" name="Line 1140">
          <a:extLst>
            <a:ext uri="{FF2B5EF4-FFF2-40B4-BE49-F238E27FC236}">
              <a16:creationId xmlns:a16="http://schemas.microsoft.com/office/drawing/2014/main" id="{00000000-0008-0000-0000-0000D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2" name="Line 1141">
          <a:extLst>
            <a:ext uri="{FF2B5EF4-FFF2-40B4-BE49-F238E27FC236}">
              <a16:creationId xmlns:a16="http://schemas.microsoft.com/office/drawing/2014/main" id="{00000000-0008-0000-0000-0000D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3" name="Line 1142">
          <a:extLst>
            <a:ext uri="{FF2B5EF4-FFF2-40B4-BE49-F238E27FC236}">
              <a16:creationId xmlns:a16="http://schemas.microsoft.com/office/drawing/2014/main" id="{00000000-0008-0000-0000-0000D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4" name="Line 1143">
          <a:extLst>
            <a:ext uri="{FF2B5EF4-FFF2-40B4-BE49-F238E27FC236}">
              <a16:creationId xmlns:a16="http://schemas.microsoft.com/office/drawing/2014/main" id="{00000000-0008-0000-0000-0000E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5" name="Line 1144">
          <a:extLst>
            <a:ext uri="{FF2B5EF4-FFF2-40B4-BE49-F238E27FC236}">
              <a16:creationId xmlns:a16="http://schemas.microsoft.com/office/drawing/2014/main" id="{00000000-0008-0000-0000-0000E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6" name="Line 1145">
          <a:extLst>
            <a:ext uri="{FF2B5EF4-FFF2-40B4-BE49-F238E27FC236}">
              <a16:creationId xmlns:a16="http://schemas.microsoft.com/office/drawing/2014/main" id="{00000000-0008-0000-0000-0000E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7" name="Line 1146">
          <a:extLst>
            <a:ext uri="{FF2B5EF4-FFF2-40B4-BE49-F238E27FC236}">
              <a16:creationId xmlns:a16="http://schemas.microsoft.com/office/drawing/2014/main" id="{00000000-0008-0000-0000-0000E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8" name="Line 1147">
          <a:extLst>
            <a:ext uri="{FF2B5EF4-FFF2-40B4-BE49-F238E27FC236}">
              <a16:creationId xmlns:a16="http://schemas.microsoft.com/office/drawing/2014/main" id="{00000000-0008-0000-0000-0000E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89" name="Line 1148">
          <a:extLst>
            <a:ext uri="{FF2B5EF4-FFF2-40B4-BE49-F238E27FC236}">
              <a16:creationId xmlns:a16="http://schemas.microsoft.com/office/drawing/2014/main" id="{00000000-0008-0000-0000-0000E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0" name="Line 1149">
          <a:extLst>
            <a:ext uri="{FF2B5EF4-FFF2-40B4-BE49-F238E27FC236}">
              <a16:creationId xmlns:a16="http://schemas.microsoft.com/office/drawing/2014/main" id="{00000000-0008-0000-0000-0000E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1" name="Line 1150">
          <a:extLst>
            <a:ext uri="{FF2B5EF4-FFF2-40B4-BE49-F238E27FC236}">
              <a16:creationId xmlns:a16="http://schemas.microsoft.com/office/drawing/2014/main" id="{00000000-0008-0000-0000-0000E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2" name="Line 1151">
          <a:extLst>
            <a:ext uri="{FF2B5EF4-FFF2-40B4-BE49-F238E27FC236}">
              <a16:creationId xmlns:a16="http://schemas.microsoft.com/office/drawing/2014/main" id="{00000000-0008-0000-0000-0000E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3" name="Line 1152">
          <a:extLst>
            <a:ext uri="{FF2B5EF4-FFF2-40B4-BE49-F238E27FC236}">
              <a16:creationId xmlns:a16="http://schemas.microsoft.com/office/drawing/2014/main" id="{00000000-0008-0000-0000-0000E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4" name="Line 1153">
          <a:extLst>
            <a:ext uri="{FF2B5EF4-FFF2-40B4-BE49-F238E27FC236}">
              <a16:creationId xmlns:a16="http://schemas.microsoft.com/office/drawing/2014/main" id="{00000000-0008-0000-0000-0000E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5" name="Line 1154">
          <a:extLst>
            <a:ext uri="{FF2B5EF4-FFF2-40B4-BE49-F238E27FC236}">
              <a16:creationId xmlns:a16="http://schemas.microsoft.com/office/drawing/2014/main" id="{00000000-0008-0000-0000-0000E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6" name="Line 1155">
          <a:extLst>
            <a:ext uri="{FF2B5EF4-FFF2-40B4-BE49-F238E27FC236}">
              <a16:creationId xmlns:a16="http://schemas.microsoft.com/office/drawing/2014/main" id="{00000000-0008-0000-0000-0000E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7" name="Line 1156">
          <a:extLst>
            <a:ext uri="{FF2B5EF4-FFF2-40B4-BE49-F238E27FC236}">
              <a16:creationId xmlns:a16="http://schemas.microsoft.com/office/drawing/2014/main" id="{00000000-0008-0000-0000-0000E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8" name="Line 1157">
          <a:extLst>
            <a:ext uri="{FF2B5EF4-FFF2-40B4-BE49-F238E27FC236}">
              <a16:creationId xmlns:a16="http://schemas.microsoft.com/office/drawing/2014/main" id="{00000000-0008-0000-0000-0000E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199" name="Line 1158">
          <a:extLst>
            <a:ext uri="{FF2B5EF4-FFF2-40B4-BE49-F238E27FC236}">
              <a16:creationId xmlns:a16="http://schemas.microsoft.com/office/drawing/2014/main" id="{00000000-0008-0000-0000-0000E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0" name="Line 1159">
          <a:extLst>
            <a:ext uri="{FF2B5EF4-FFF2-40B4-BE49-F238E27FC236}">
              <a16:creationId xmlns:a16="http://schemas.microsoft.com/office/drawing/2014/main" id="{00000000-0008-0000-0000-0000F0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1" name="Line 1160">
          <a:extLst>
            <a:ext uri="{FF2B5EF4-FFF2-40B4-BE49-F238E27FC236}">
              <a16:creationId xmlns:a16="http://schemas.microsoft.com/office/drawing/2014/main" id="{00000000-0008-0000-0000-0000F1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2" name="Line 1161">
          <a:extLst>
            <a:ext uri="{FF2B5EF4-FFF2-40B4-BE49-F238E27FC236}">
              <a16:creationId xmlns:a16="http://schemas.microsoft.com/office/drawing/2014/main" id="{00000000-0008-0000-0000-0000F2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3" name="Line 1162">
          <a:extLst>
            <a:ext uri="{FF2B5EF4-FFF2-40B4-BE49-F238E27FC236}">
              <a16:creationId xmlns:a16="http://schemas.microsoft.com/office/drawing/2014/main" id="{00000000-0008-0000-0000-0000F3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4" name="Line 1163">
          <a:extLst>
            <a:ext uri="{FF2B5EF4-FFF2-40B4-BE49-F238E27FC236}">
              <a16:creationId xmlns:a16="http://schemas.microsoft.com/office/drawing/2014/main" id="{00000000-0008-0000-0000-0000F4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5" name="Line 1164">
          <a:extLst>
            <a:ext uri="{FF2B5EF4-FFF2-40B4-BE49-F238E27FC236}">
              <a16:creationId xmlns:a16="http://schemas.microsoft.com/office/drawing/2014/main" id="{00000000-0008-0000-0000-0000F5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6" name="Line 1165">
          <a:extLst>
            <a:ext uri="{FF2B5EF4-FFF2-40B4-BE49-F238E27FC236}">
              <a16:creationId xmlns:a16="http://schemas.microsoft.com/office/drawing/2014/main" id="{00000000-0008-0000-0000-0000F6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7" name="Line 1166">
          <a:extLst>
            <a:ext uri="{FF2B5EF4-FFF2-40B4-BE49-F238E27FC236}">
              <a16:creationId xmlns:a16="http://schemas.microsoft.com/office/drawing/2014/main" id="{00000000-0008-0000-0000-0000F7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8" name="Line 1167">
          <a:extLst>
            <a:ext uri="{FF2B5EF4-FFF2-40B4-BE49-F238E27FC236}">
              <a16:creationId xmlns:a16="http://schemas.microsoft.com/office/drawing/2014/main" id="{00000000-0008-0000-0000-0000F8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09" name="Line 1168">
          <a:extLst>
            <a:ext uri="{FF2B5EF4-FFF2-40B4-BE49-F238E27FC236}">
              <a16:creationId xmlns:a16="http://schemas.microsoft.com/office/drawing/2014/main" id="{00000000-0008-0000-0000-0000F9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0" name="Line 1169">
          <a:extLst>
            <a:ext uri="{FF2B5EF4-FFF2-40B4-BE49-F238E27FC236}">
              <a16:creationId xmlns:a16="http://schemas.microsoft.com/office/drawing/2014/main" id="{00000000-0008-0000-0000-0000FA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1" name="Line 1170">
          <a:extLst>
            <a:ext uri="{FF2B5EF4-FFF2-40B4-BE49-F238E27FC236}">
              <a16:creationId xmlns:a16="http://schemas.microsoft.com/office/drawing/2014/main" id="{00000000-0008-0000-0000-0000FB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2" name="Line 1171">
          <a:extLst>
            <a:ext uri="{FF2B5EF4-FFF2-40B4-BE49-F238E27FC236}">
              <a16:creationId xmlns:a16="http://schemas.microsoft.com/office/drawing/2014/main" id="{00000000-0008-0000-0000-0000FC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3" name="Line 1172">
          <a:extLst>
            <a:ext uri="{FF2B5EF4-FFF2-40B4-BE49-F238E27FC236}">
              <a16:creationId xmlns:a16="http://schemas.microsoft.com/office/drawing/2014/main" id="{00000000-0008-0000-0000-0000FD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4" name="Line 1173">
          <a:extLst>
            <a:ext uri="{FF2B5EF4-FFF2-40B4-BE49-F238E27FC236}">
              <a16:creationId xmlns:a16="http://schemas.microsoft.com/office/drawing/2014/main" id="{00000000-0008-0000-0000-0000FE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5" name="Line 1174">
          <a:extLst>
            <a:ext uri="{FF2B5EF4-FFF2-40B4-BE49-F238E27FC236}">
              <a16:creationId xmlns:a16="http://schemas.microsoft.com/office/drawing/2014/main" id="{00000000-0008-0000-0000-0000FF27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6" name="Line 1175">
          <a:extLst>
            <a:ext uri="{FF2B5EF4-FFF2-40B4-BE49-F238E27FC236}">
              <a16:creationId xmlns:a16="http://schemas.microsoft.com/office/drawing/2014/main" id="{00000000-0008-0000-0000-000000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7" name="Line 1176">
          <a:extLst>
            <a:ext uri="{FF2B5EF4-FFF2-40B4-BE49-F238E27FC236}">
              <a16:creationId xmlns:a16="http://schemas.microsoft.com/office/drawing/2014/main" id="{00000000-0008-0000-0000-000001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8" name="Line 1177">
          <a:extLst>
            <a:ext uri="{FF2B5EF4-FFF2-40B4-BE49-F238E27FC236}">
              <a16:creationId xmlns:a16="http://schemas.microsoft.com/office/drawing/2014/main" id="{00000000-0008-0000-0000-000002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19" name="Line 1178">
          <a:extLst>
            <a:ext uri="{FF2B5EF4-FFF2-40B4-BE49-F238E27FC236}">
              <a16:creationId xmlns:a16="http://schemas.microsoft.com/office/drawing/2014/main" id="{00000000-0008-0000-0000-000003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0" name="Line 1179">
          <a:extLst>
            <a:ext uri="{FF2B5EF4-FFF2-40B4-BE49-F238E27FC236}">
              <a16:creationId xmlns:a16="http://schemas.microsoft.com/office/drawing/2014/main" id="{00000000-0008-0000-0000-000004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1" name="Line 1180">
          <a:extLst>
            <a:ext uri="{FF2B5EF4-FFF2-40B4-BE49-F238E27FC236}">
              <a16:creationId xmlns:a16="http://schemas.microsoft.com/office/drawing/2014/main" id="{00000000-0008-0000-0000-000005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2" name="Line 1181">
          <a:extLst>
            <a:ext uri="{FF2B5EF4-FFF2-40B4-BE49-F238E27FC236}">
              <a16:creationId xmlns:a16="http://schemas.microsoft.com/office/drawing/2014/main" id="{00000000-0008-0000-0000-000006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3" name="Line 1182">
          <a:extLst>
            <a:ext uri="{FF2B5EF4-FFF2-40B4-BE49-F238E27FC236}">
              <a16:creationId xmlns:a16="http://schemas.microsoft.com/office/drawing/2014/main" id="{00000000-0008-0000-0000-000007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4" name="Line 1183">
          <a:extLst>
            <a:ext uri="{FF2B5EF4-FFF2-40B4-BE49-F238E27FC236}">
              <a16:creationId xmlns:a16="http://schemas.microsoft.com/office/drawing/2014/main" id="{00000000-0008-0000-0000-000008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5" name="Line 1184">
          <a:extLst>
            <a:ext uri="{FF2B5EF4-FFF2-40B4-BE49-F238E27FC236}">
              <a16:creationId xmlns:a16="http://schemas.microsoft.com/office/drawing/2014/main" id="{00000000-0008-0000-0000-000009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6" name="Line 1185">
          <a:extLst>
            <a:ext uri="{FF2B5EF4-FFF2-40B4-BE49-F238E27FC236}">
              <a16:creationId xmlns:a16="http://schemas.microsoft.com/office/drawing/2014/main" id="{00000000-0008-0000-0000-00000A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7" name="Line 1186">
          <a:extLst>
            <a:ext uri="{FF2B5EF4-FFF2-40B4-BE49-F238E27FC236}">
              <a16:creationId xmlns:a16="http://schemas.microsoft.com/office/drawing/2014/main" id="{00000000-0008-0000-0000-00000B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8" name="Line 1187">
          <a:extLst>
            <a:ext uri="{FF2B5EF4-FFF2-40B4-BE49-F238E27FC236}">
              <a16:creationId xmlns:a16="http://schemas.microsoft.com/office/drawing/2014/main" id="{00000000-0008-0000-0000-00000C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29" name="Line 1188">
          <a:extLst>
            <a:ext uri="{FF2B5EF4-FFF2-40B4-BE49-F238E27FC236}">
              <a16:creationId xmlns:a16="http://schemas.microsoft.com/office/drawing/2014/main" id="{00000000-0008-0000-0000-00000D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30" name="Line 1189">
          <a:extLst>
            <a:ext uri="{FF2B5EF4-FFF2-40B4-BE49-F238E27FC236}">
              <a16:creationId xmlns:a16="http://schemas.microsoft.com/office/drawing/2014/main" id="{00000000-0008-0000-0000-00000E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31" name="Line 1190">
          <a:extLst>
            <a:ext uri="{FF2B5EF4-FFF2-40B4-BE49-F238E27FC236}">
              <a16:creationId xmlns:a16="http://schemas.microsoft.com/office/drawing/2014/main" id="{00000000-0008-0000-0000-00000F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4</xdr:col>
      <xdr:colOff>22860</xdr:colOff>
      <xdr:row>0</xdr:row>
      <xdr:rowOff>0</xdr:rowOff>
    </xdr:to>
    <xdr:sp macro="" textlink="">
      <xdr:nvSpPr>
        <xdr:cNvPr id="2697232" name="Line 1191">
          <a:extLst>
            <a:ext uri="{FF2B5EF4-FFF2-40B4-BE49-F238E27FC236}">
              <a16:creationId xmlns:a16="http://schemas.microsoft.com/office/drawing/2014/main" id="{00000000-0008-0000-0000-000010282900}"/>
            </a:ext>
          </a:extLst>
        </xdr:cNvPr>
        <xdr:cNvSpPr>
          <a:spLocks noChangeShapeType="1"/>
        </xdr:cNvSpPr>
      </xdr:nvSpPr>
      <xdr:spPr bwMode="auto">
        <a:xfrm>
          <a:off x="6499860" y="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393" name="Line 5168">
          <a:extLst>
            <a:ext uri="{FF2B5EF4-FFF2-40B4-BE49-F238E27FC236}">
              <a16:creationId xmlns:a16="http://schemas.microsoft.com/office/drawing/2014/main" id="{00000000-0008-0000-0000-0000B1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394" name="Line 5169">
          <a:extLst>
            <a:ext uri="{FF2B5EF4-FFF2-40B4-BE49-F238E27FC236}">
              <a16:creationId xmlns:a16="http://schemas.microsoft.com/office/drawing/2014/main" id="{00000000-0008-0000-0000-0000B2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395" name="Line 5170">
          <a:extLst>
            <a:ext uri="{FF2B5EF4-FFF2-40B4-BE49-F238E27FC236}">
              <a16:creationId xmlns:a16="http://schemas.microsoft.com/office/drawing/2014/main" id="{00000000-0008-0000-0000-0000B3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396" name="Line 5171">
          <a:extLst>
            <a:ext uri="{FF2B5EF4-FFF2-40B4-BE49-F238E27FC236}">
              <a16:creationId xmlns:a16="http://schemas.microsoft.com/office/drawing/2014/main" id="{00000000-0008-0000-0000-0000B4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397" name="Line 5172">
          <a:extLst>
            <a:ext uri="{FF2B5EF4-FFF2-40B4-BE49-F238E27FC236}">
              <a16:creationId xmlns:a16="http://schemas.microsoft.com/office/drawing/2014/main" id="{00000000-0008-0000-0000-0000B5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398" name="Line 5173">
          <a:extLst>
            <a:ext uri="{FF2B5EF4-FFF2-40B4-BE49-F238E27FC236}">
              <a16:creationId xmlns:a16="http://schemas.microsoft.com/office/drawing/2014/main" id="{00000000-0008-0000-0000-0000B6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399" name="Line 5174">
          <a:extLst>
            <a:ext uri="{FF2B5EF4-FFF2-40B4-BE49-F238E27FC236}">
              <a16:creationId xmlns:a16="http://schemas.microsoft.com/office/drawing/2014/main" id="{00000000-0008-0000-0000-0000B7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0" name="Line 5175">
          <a:extLst>
            <a:ext uri="{FF2B5EF4-FFF2-40B4-BE49-F238E27FC236}">
              <a16:creationId xmlns:a16="http://schemas.microsoft.com/office/drawing/2014/main" id="{00000000-0008-0000-0000-0000B8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1" name="Line 5176">
          <a:extLst>
            <a:ext uri="{FF2B5EF4-FFF2-40B4-BE49-F238E27FC236}">
              <a16:creationId xmlns:a16="http://schemas.microsoft.com/office/drawing/2014/main" id="{00000000-0008-0000-0000-0000B9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2" name="Line 5177">
          <a:extLst>
            <a:ext uri="{FF2B5EF4-FFF2-40B4-BE49-F238E27FC236}">
              <a16:creationId xmlns:a16="http://schemas.microsoft.com/office/drawing/2014/main" id="{00000000-0008-0000-0000-0000BA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3" name="Line 5178">
          <a:extLst>
            <a:ext uri="{FF2B5EF4-FFF2-40B4-BE49-F238E27FC236}">
              <a16:creationId xmlns:a16="http://schemas.microsoft.com/office/drawing/2014/main" id="{00000000-0008-0000-0000-0000BB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4" name="Line 5179">
          <a:extLst>
            <a:ext uri="{FF2B5EF4-FFF2-40B4-BE49-F238E27FC236}">
              <a16:creationId xmlns:a16="http://schemas.microsoft.com/office/drawing/2014/main" id="{00000000-0008-0000-0000-0000BC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5" name="Line 5180">
          <a:extLst>
            <a:ext uri="{FF2B5EF4-FFF2-40B4-BE49-F238E27FC236}">
              <a16:creationId xmlns:a16="http://schemas.microsoft.com/office/drawing/2014/main" id="{00000000-0008-0000-0000-0000BD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6" name="Line 5181">
          <a:extLst>
            <a:ext uri="{FF2B5EF4-FFF2-40B4-BE49-F238E27FC236}">
              <a16:creationId xmlns:a16="http://schemas.microsoft.com/office/drawing/2014/main" id="{00000000-0008-0000-0000-0000BE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7" name="Line 5182">
          <a:extLst>
            <a:ext uri="{FF2B5EF4-FFF2-40B4-BE49-F238E27FC236}">
              <a16:creationId xmlns:a16="http://schemas.microsoft.com/office/drawing/2014/main" id="{00000000-0008-0000-0000-0000BF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8" name="Line 5183">
          <a:extLst>
            <a:ext uri="{FF2B5EF4-FFF2-40B4-BE49-F238E27FC236}">
              <a16:creationId xmlns:a16="http://schemas.microsoft.com/office/drawing/2014/main" id="{00000000-0008-0000-0000-0000C0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09" name="Line 5184">
          <a:extLst>
            <a:ext uri="{FF2B5EF4-FFF2-40B4-BE49-F238E27FC236}">
              <a16:creationId xmlns:a16="http://schemas.microsoft.com/office/drawing/2014/main" id="{00000000-0008-0000-0000-0000C1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0" name="Line 5185">
          <a:extLst>
            <a:ext uri="{FF2B5EF4-FFF2-40B4-BE49-F238E27FC236}">
              <a16:creationId xmlns:a16="http://schemas.microsoft.com/office/drawing/2014/main" id="{00000000-0008-0000-0000-0000C2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1" name="Line 5186">
          <a:extLst>
            <a:ext uri="{FF2B5EF4-FFF2-40B4-BE49-F238E27FC236}">
              <a16:creationId xmlns:a16="http://schemas.microsoft.com/office/drawing/2014/main" id="{00000000-0008-0000-0000-0000C3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2" name="Line 5187">
          <a:extLst>
            <a:ext uri="{FF2B5EF4-FFF2-40B4-BE49-F238E27FC236}">
              <a16:creationId xmlns:a16="http://schemas.microsoft.com/office/drawing/2014/main" id="{00000000-0008-0000-0000-0000C4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3" name="Line 5188">
          <a:extLst>
            <a:ext uri="{FF2B5EF4-FFF2-40B4-BE49-F238E27FC236}">
              <a16:creationId xmlns:a16="http://schemas.microsoft.com/office/drawing/2014/main" id="{00000000-0008-0000-0000-0000C5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4" name="Line 5189">
          <a:extLst>
            <a:ext uri="{FF2B5EF4-FFF2-40B4-BE49-F238E27FC236}">
              <a16:creationId xmlns:a16="http://schemas.microsoft.com/office/drawing/2014/main" id="{00000000-0008-0000-0000-0000C6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5" name="Line 5190">
          <a:extLst>
            <a:ext uri="{FF2B5EF4-FFF2-40B4-BE49-F238E27FC236}">
              <a16:creationId xmlns:a16="http://schemas.microsoft.com/office/drawing/2014/main" id="{00000000-0008-0000-0000-0000C7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6" name="Line 5191">
          <a:extLst>
            <a:ext uri="{FF2B5EF4-FFF2-40B4-BE49-F238E27FC236}">
              <a16:creationId xmlns:a16="http://schemas.microsoft.com/office/drawing/2014/main" id="{00000000-0008-0000-0000-0000C8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7" name="Line 5192">
          <a:extLst>
            <a:ext uri="{FF2B5EF4-FFF2-40B4-BE49-F238E27FC236}">
              <a16:creationId xmlns:a16="http://schemas.microsoft.com/office/drawing/2014/main" id="{00000000-0008-0000-0000-0000C9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8" name="Line 5193">
          <a:extLst>
            <a:ext uri="{FF2B5EF4-FFF2-40B4-BE49-F238E27FC236}">
              <a16:creationId xmlns:a16="http://schemas.microsoft.com/office/drawing/2014/main" id="{00000000-0008-0000-0000-0000CA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19" name="Line 5194">
          <a:extLst>
            <a:ext uri="{FF2B5EF4-FFF2-40B4-BE49-F238E27FC236}">
              <a16:creationId xmlns:a16="http://schemas.microsoft.com/office/drawing/2014/main" id="{00000000-0008-0000-0000-0000CB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0" name="Line 5195">
          <a:extLst>
            <a:ext uri="{FF2B5EF4-FFF2-40B4-BE49-F238E27FC236}">
              <a16:creationId xmlns:a16="http://schemas.microsoft.com/office/drawing/2014/main" id="{00000000-0008-0000-0000-0000CC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1" name="Line 5196">
          <a:extLst>
            <a:ext uri="{FF2B5EF4-FFF2-40B4-BE49-F238E27FC236}">
              <a16:creationId xmlns:a16="http://schemas.microsoft.com/office/drawing/2014/main" id="{00000000-0008-0000-0000-0000CD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2" name="Line 5197">
          <a:extLst>
            <a:ext uri="{FF2B5EF4-FFF2-40B4-BE49-F238E27FC236}">
              <a16:creationId xmlns:a16="http://schemas.microsoft.com/office/drawing/2014/main" id="{00000000-0008-0000-0000-0000CE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3" name="Line 5198">
          <a:extLst>
            <a:ext uri="{FF2B5EF4-FFF2-40B4-BE49-F238E27FC236}">
              <a16:creationId xmlns:a16="http://schemas.microsoft.com/office/drawing/2014/main" id="{00000000-0008-0000-0000-0000CF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4" name="Line 5199">
          <a:extLst>
            <a:ext uri="{FF2B5EF4-FFF2-40B4-BE49-F238E27FC236}">
              <a16:creationId xmlns:a16="http://schemas.microsoft.com/office/drawing/2014/main" id="{00000000-0008-0000-0000-0000D0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5" name="Line 5200">
          <a:extLst>
            <a:ext uri="{FF2B5EF4-FFF2-40B4-BE49-F238E27FC236}">
              <a16:creationId xmlns:a16="http://schemas.microsoft.com/office/drawing/2014/main" id="{00000000-0008-0000-0000-0000D1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6" name="Line 5201">
          <a:extLst>
            <a:ext uri="{FF2B5EF4-FFF2-40B4-BE49-F238E27FC236}">
              <a16:creationId xmlns:a16="http://schemas.microsoft.com/office/drawing/2014/main" id="{00000000-0008-0000-0000-0000D2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7" name="Line 5202">
          <a:extLst>
            <a:ext uri="{FF2B5EF4-FFF2-40B4-BE49-F238E27FC236}">
              <a16:creationId xmlns:a16="http://schemas.microsoft.com/office/drawing/2014/main" id="{00000000-0008-0000-0000-0000D3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8" name="Line 5203">
          <a:extLst>
            <a:ext uri="{FF2B5EF4-FFF2-40B4-BE49-F238E27FC236}">
              <a16:creationId xmlns:a16="http://schemas.microsoft.com/office/drawing/2014/main" id="{00000000-0008-0000-0000-0000D4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29" name="Line 5204">
          <a:extLst>
            <a:ext uri="{FF2B5EF4-FFF2-40B4-BE49-F238E27FC236}">
              <a16:creationId xmlns:a16="http://schemas.microsoft.com/office/drawing/2014/main" id="{00000000-0008-0000-0000-0000D5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0" name="Line 5205">
          <a:extLst>
            <a:ext uri="{FF2B5EF4-FFF2-40B4-BE49-F238E27FC236}">
              <a16:creationId xmlns:a16="http://schemas.microsoft.com/office/drawing/2014/main" id="{00000000-0008-0000-0000-0000D6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1" name="Line 5206">
          <a:extLst>
            <a:ext uri="{FF2B5EF4-FFF2-40B4-BE49-F238E27FC236}">
              <a16:creationId xmlns:a16="http://schemas.microsoft.com/office/drawing/2014/main" id="{00000000-0008-0000-0000-0000D7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2" name="Line 5207">
          <a:extLst>
            <a:ext uri="{FF2B5EF4-FFF2-40B4-BE49-F238E27FC236}">
              <a16:creationId xmlns:a16="http://schemas.microsoft.com/office/drawing/2014/main" id="{00000000-0008-0000-0000-0000D8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3" name="Line 5208">
          <a:extLst>
            <a:ext uri="{FF2B5EF4-FFF2-40B4-BE49-F238E27FC236}">
              <a16:creationId xmlns:a16="http://schemas.microsoft.com/office/drawing/2014/main" id="{00000000-0008-0000-0000-0000D9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4" name="Line 5209">
          <a:extLst>
            <a:ext uri="{FF2B5EF4-FFF2-40B4-BE49-F238E27FC236}">
              <a16:creationId xmlns:a16="http://schemas.microsoft.com/office/drawing/2014/main" id="{00000000-0008-0000-0000-0000DA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5" name="Line 5210">
          <a:extLst>
            <a:ext uri="{FF2B5EF4-FFF2-40B4-BE49-F238E27FC236}">
              <a16:creationId xmlns:a16="http://schemas.microsoft.com/office/drawing/2014/main" id="{00000000-0008-0000-0000-0000DB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6" name="Line 5211">
          <a:extLst>
            <a:ext uri="{FF2B5EF4-FFF2-40B4-BE49-F238E27FC236}">
              <a16:creationId xmlns:a16="http://schemas.microsoft.com/office/drawing/2014/main" id="{00000000-0008-0000-0000-0000DC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7" name="Line 5212">
          <a:extLst>
            <a:ext uri="{FF2B5EF4-FFF2-40B4-BE49-F238E27FC236}">
              <a16:creationId xmlns:a16="http://schemas.microsoft.com/office/drawing/2014/main" id="{00000000-0008-0000-0000-0000DD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8" name="Line 5213">
          <a:extLst>
            <a:ext uri="{FF2B5EF4-FFF2-40B4-BE49-F238E27FC236}">
              <a16:creationId xmlns:a16="http://schemas.microsoft.com/office/drawing/2014/main" id="{00000000-0008-0000-0000-0000DE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39" name="Line 5214">
          <a:extLst>
            <a:ext uri="{FF2B5EF4-FFF2-40B4-BE49-F238E27FC236}">
              <a16:creationId xmlns:a16="http://schemas.microsoft.com/office/drawing/2014/main" id="{00000000-0008-0000-0000-0000DF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0" name="Line 5215">
          <a:extLst>
            <a:ext uri="{FF2B5EF4-FFF2-40B4-BE49-F238E27FC236}">
              <a16:creationId xmlns:a16="http://schemas.microsoft.com/office/drawing/2014/main" id="{00000000-0008-0000-0000-0000E0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1" name="Line 5216">
          <a:extLst>
            <a:ext uri="{FF2B5EF4-FFF2-40B4-BE49-F238E27FC236}">
              <a16:creationId xmlns:a16="http://schemas.microsoft.com/office/drawing/2014/main" id="{00000000-0008-0000-0000-0000E1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2" name="Line 5217">
          <a:extLst>
            <a:ext uri="{FF2B5EF4-FFF2-40B4-BE49-F238E27FC236}">
              <a16:creationId xmlns:a16="http://schemas.microsoft.com/office/drawing/2014/main" id="{00000000-0008-0000-0000-0000E2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3" name="Line 5218">
          <a:extLst>
            <a:ext uri="{FF2B5EF4-FFF2-40B4-BE49-F238E27FC236}">
              <a16:creationId xmlns:a16="http://schemas.microsoft.com/office/drawing/2014/main" id="{00000000-0008-0000-0000-0000E3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4" name="Line 5219">
          <a:extLst>
            <a:ext uri="{FF2B5EF4-FFF2-40B4-BE49-F238E27FC236}">
              <a16:creationId xmlns:a16="http://schemas.microsoft.com/office/drawing/2014/main" id="{00000000-0008-0000-0000-0000E4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5" name="Line 5220">
          <a:extLst>
            <a:ext uri="{FF2B5EF4-FFF2-40B4-BE49-F238E27FC236}">
              <a16:creationId xmlns:a16="http://schemas.microsoft.com/office/drawing/2014/main" id="{00000000-0008-0000-0000-0000E5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6" name="Line 5221">
          <a:extLst>
            <a:ext uri="{FF2B5EF4-FFF2-40B4-BE49-F238E27FC236}">
              <a16:creationId xmlns:a16="http://schemas.microsoft.com/office/drawing/2014/main" id="{00000000-0008-0000-0000-0000E6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7" name="Line 5222">
          <a:extLst>
            <a:ext uri="{FF2B5EF4-FFF2-40B4-BE49-F238E27FC236}">
              <a16:creationId xmlns:a16="http://schemas.microsoft.com/office/drawing/2014/main" id="{00000000-0008-0000-0000-0000E7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8" name="Line 5223">
          <a:extLst>
            <a:ext uri="{FF2B5EF4-FFF2-40B4-BE49-F238E27FC236}">
              <a16:creationId xmlns:a16="http://schemas.microsoft.com/office/drawing/2014/main" id="{00000000-0008-0000-0000-0000E8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49" name="Line 5224">
          <a:extLst>
            <a:ext uri="{FF2B5EF4-FFF2-40B4-BE49-F238E27FC236}">
              <a16:creationId xmlns:a16="http://schemas.microsoft.com/office/drawing/2014/main" id="{00000000-0008-0000-0000-0000E9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0" name="Line 5225">
          <a:extLst>
            <a:ext uri="{FF2B5EF4-FFF2-40B4-BE49-F238E27FC236}">
              <a16:creationId xmlns:a16="http://schemas.microsoft.com/office/drawing/2014/main" id="{00000000-0008-0000-0000-0000EA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1" name="Line 5226">
          <a:extLst>
            <a:ext uri="{FF2B5EF4-FFF2-40B4-BE49-F238E27FC236}">
              <a16:creationId xmlns:a16="http://schemas.microsoft.com/office/drawing/2014/main" id="{00000000-0008-0000-0000-0000EB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2" name="Line 5227">
          <a:extLst>
            <a:ext uri="{FF2B5EF4-FFF2-40B4-BE49-F238E27FC236}">
              <a16:creationId xmlns:a16="http://schemas.microsoft.com/office/drawing/2014/main" id="{00000000-0008-0000-0000-0000EC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3" name="Line 5228">
          <a:extLst>
            <a:ext uri="{FF2B5EF4-FFF2-40B4-BE49-F238E27FC236}">
              <a16:creationId xmlns:a16="http://schemas.microsoft.com/office/drawing/2014/main" id="{00000000-0008-0000-0000-0000ED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4" name="Line 5229">
          <a:extLst>
            <a:ext uri="{FF2B5EF4-FFF2-40B4-BE49-F238E27FC236}">
              <a16:creationId xmlns:a16="http://schemas.microsoft.com/office/drawing/2014/main" id="{00000000-0008-0000-0000-0000EE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5" name="Line 5230">
          <a:extLst>
            <a:ext uri="{FF2B5EF4-FFF2-40B4-BE49-F238E27FC236}">
              <a16:creationId xmlns:a16="http://schemas.microsoft.com/office/drawing/2014/main" id="{00000000-0008-0000-0000-0000EF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6" name="Line 5231">
          <a:extLst>
            <a:ext uri="{FF2B5EF4-FFF2-40B4-BE49-F238E27FC236}">
              <a16:creationId xmlns:a16="http://schemas.microsoft.com/office/drawing/2014/main" id="{00000000-0008-0000-0000-0000F0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7" name="Line 5232">
          <a:extLst>
            <a:ext uri="{FF2B5EF4-FFF2-40B4-BE49-F238E27FC236}">
              <a16:creationId xmlns:a16="http://schemas.microsoft.com/office/drawing/2014/main" id="{00000000-0008-0000-0000-0000F1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8" name="Line 5233">
          <a:extLst>
            <a:ext uri="{FF2B5EF4-FFF2-40B4-BE49-F238E27FC236}">
              <a16:creationId xmlns:a16="http://schemas.microsoft.com/office/drawing/2014/main" id="{00000000-0008-0000-0000-0000F2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59" name="Line 5234">
          <a:extLst>
            <a:ext uri="{FF2B5EF4-FFF2-40B4-BE49-F238E27FC236}">
              <a16:creationId xmlns:a16="http://schemas.microsoft.com/office/drawing/2014/main" id="{00000000-0008-0000-0000-0000F3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0" name="Line 5235">
          <a:extLst>
            <a:ext uri="{FF2B5EF4-FFF2-40B4-BE49-F238E27FC236}">
              <a16:creationId xmlns:a16="http://schemas.microsoft.com/office/drawing/2014/main" id="{00000000-0008-0000-0000-0000F4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1" name="Line 5236">
          <a:extLst>
            <a:ext uri="{FF2B5EF4-FFF2-40B4-BE49-F238E27FC236}">
              <a16:creationId xmlns:a16="http://schemas.microsoft.com/office/drawing/2014/main" id="{00000000-0008-0000-0000-0000F5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2" name="Line 5237">
          <a:extLst>
            <a:ext uri="{FF2B5EF4-FFF2-40B4-BE49-F238E27FC236}">
              <a16:creationId xmlns:a16="http://schemas.microsoft.com/office/drawing/2014/main" id="{00000000-0008-0000-0000-0000F6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3" name="Line 5238">
          <a:extLst>
            <a:ext uri="{FF2B5EF4-FFF2-40B4-BE49-F238E27FC236}">
              <a16:creationId xmlns:a16="http://schemas.microsoft.com/office/drawing/2014/main" id="{00000000-0008-0000-0000-0000F7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4" name="Line 5239">
          <a:extLst>
            <a:ext uri="{FF2B5EF4-FFF2-40B4-BE49-F238E27FC236}">
              <a16:creationId xmlns:a16="http://schemas.microsoft.com/office/drawing/2014/main" id="{00000000-0008-0000-0000-0000F8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5" name="Line 5240">
          <a:extLst>
            <a:ext uri="{FF2B5EF4-FFF2-40B4-BE49-F238E27FC236}">
              <a16:creationId xmlns:a16="http://schemas.microsoft.com/office/drawing/2014/main" id="{00000000-0008-0000-0000-0000F9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6" name="Line 5241">
          <a:extLst>
            <a:ext uri="{FF2B5EF4-FFF2-40B4-BE49-F238E27FC236}">
              <a16:creationId xmlns:a16="http://schemas.microsoft.com/office/drawing/2014/main" id="{00000000-0008-0000-0000-0000FA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7" name="Line 5242">
          <a:extLst>
            <a:ext uri="{FF2B5EF4-FFF2-40B4-BE49-F238E27FC236}">
              <a16:creationId xmlns:a16="http://schemas.microsoft.com/office/drawing/2014/main" id="{00000000-0008-0000-0000-0000FB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8" name="Line 5243">
          <a:extLst>
            <a:ext uri="{FF2B5EF4-FFF2-40B4-BE49-F238E27FC236}">
              <a16:creationId xmlns:a16="http://schemas.microsoft.com/office/drawing/2014/main" id="{00000000-0008-0000-0000-0000FC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69" name="Line 5244">
          <a:extLst>
            <a:ext uri="{FF2B5EF4-FFF2-40B4-BE49-F238E27FC236}">
              <a16:creationId xmlns:a16="http://schemas.microsoft.com/office/drawing/2014/main" id="{00000000-0008-0000-0000-0000FD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70" name="Line 5245">
          <a:extLst>
            <a:ext uri="{FF2B5EF4-FFF2-40B4-BE49-F238E27FC236}">
              <a16:creationId xmlns:a16="http://schemas.microsoft.com/office/drawing/2014/main" id="{00000000-0008-0000-0000-0000FE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71" name="Line 5246">
          <a:extLst>
            <a:ext uri="{FF2B5EF4-FFF2-40B4-BE49-F238E27FC236}">
              <a16:creationId xmlns:a16="http://schemas.microsoft.com/office/drawing/2014/main" id="{00000000-0008-0000-0000-0000FF282900}"/>
            </a:ext>
          </a:extLst>
        </xdr:cNvPr>
        <xdr:cNvSpPr>
          <a:spLocks noChangeShapeType="1"/>
        </xdr:cNvSpPr>
      </xdr:nvSpPr>
      <xdr:spPr bwMode="auto">
        <a:xfrm>
          <a:off x="9151620" y="3918204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166</xdr:row>
      <xdr:rowOff>0</xdr:rowOff>
    </xdr:from>
    <xdr:to>
      <xdr:col>7</xdr:col>
      <xdr:colOff>22860</xdr:colOff>
      <xdr:row>166</xdr:row>
      <xdr:rowOff>0</xdr:rowOff>
    </xdr:to>
    <xdr:sp macro="" textlink="">
      <xdr:nvSpPr>
        <xdr:cNvPr id="2697472" name="Line 5247">
          <a:extLst>
            <a:ext uri="{FF2B5EF4-FFF2-40B4-BE49-F238E27FC236}">
              <a16:creationId xmlns:a16="http://schemas.microsoft.com/office/drawing/2014/main" id="{00000000-0008-0000-0000-000000292900}"/>
            </a:ext>
          </a:extLst>
        </xdr:cNvPr>
        <xdr:cNvSpPr>
          <a:spLocks noChangeShapeType="1"/>
        </xdr:cNvSpPr>
      </xdr:nvSpPr>
      <xdr:spPr bwMode="auto">
        <a:xfrm>
          <a:off x="7201263" y="37719000"/>
          <a:ext cx="2364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B63F-F3F8-4C2E-ADFF-5F767D060EEA}">
  <dimension ref="B1:E177"/>
  <sheetViews>
    <sheetView workbookViewId="0">
      <selection activeCell="H11" sqref="H11"/>
    </sheetView>
  </sheetViews>
  <sheetFormatPr defaultRowHeight="19.5" x14ac:dyDescent="0.3"/>
  <cols>
    <col min="1" max="1" width="9.140625" style="324"/>
    <col min="2" max="2" width="7.7109375" style="322" customWidth="1"/>
    <col min="3" max="3" width="133" style="323" customWidth="1"/>
    <col min="4" max="4" width="16" style="322" customWidth="1"/>
    <col min="5" max="5" width="21.42578125" style="383" customWidth="1"/>
    <col min="6" max="16384" width="9.140625" style="324"/>
  </cols>
  <sheetData>
    <row r="1" spans="2:5" x14ac:dyDescent="0.3">
      <c r="C1" s="404" t="s">
        <v>232</v>
      </c>
      <c r="D1" s="404"/>
      <c r="E1" s="404"/>
    </row>
    <row r="2" spans="2:5" x14ac:dyDescent="0.3">
      <c r="C2" s="404" t="s">
        <v>231</v>
      </c>
      <c r="D2" s="404"/>
      <c r="E2" s="404"/>
    </row>
    <row r="3" spans="2:5" x14ac:dyDescent="0.3">
      <c r="C3" s="404" t="s">
        <v>230</v>
      </c>
      <c r="D3" s="404"/>
      <c r="E3" s="404"/>
    </row>
    <row r="4" spans="2:5" x14ac:dyDescent="0.3">
      <c r="C4" s="404" t="s">
        <v>233</v>
      </c>
      <c r="D4" s="404"/>
      <c r="E4" s="404"/>
    </row>
    <row r="5" spans="2:5" x14ac:dyDescent="0.3">
      <c r="E5" s="322"/>
    </row>
    <row r="6" spans="2:5" x14ac:dyDescent="0.3">
      <c r="B6" s="325"/>
      <c r="C6" s="325" t="s">
        <v>55</v>
      </c>
      <c r="D6" s="326"/>
      <c r="E6" s="327"/>
    </row>
    <row r="7" spans="2:5" ht="20.25" thickBot="1" x14ac:dyDescent="0.35">
      <c r="B7" s="325"/>
      <c r="C7" s="326"/>
      <c r="D7" s="326"/>
      <c r="E7" s="384"/>
    </row>
    <row r="8" spans="2:5" ht="20.25" thickBot="1" x14ac:dyDescent="0.35">
      <c r="B8" s="328"/>
      <c r="C8" s="329"/>
      <c r="D8" s="402" t="s">
        <v>56</v>
      </c>
      <c r="E8" s="403"/>
    </row>
    <row r="9" spans="2:5" ht="20.25" thickBot="1" x14ac:dyDescent="0.35">
      <c r="B9" s="328"/>
      <c r="C9" s="329"/>
      <c r="D9" s="330"/>
      <c r="E9" s="331"/>
    </row>
    <row r="10" spans="2:5" ht="39.75" thickBot="1" x14ac:dyDescent="0.3">
      <c r="B10" s="332" t="s">
        <v>62</v>
      </c>
      <c r="C10" s="333" t="s">
        <v>63</v>
      </c>
      <c r="D10" s="334" t="s">
        <v>57</v>
      </c>
      <c r="E10" s="335" t="s">
        <v>194</v>
      </c>
    </row>
    <row r="11" spans="2:5" x14ac:dyDescent="0.3">
      <c r="B11" s="336" t="s">
        <v>2</v>
      </c>
      <c r="C11" s="337" t="s">
        <v>192</v>
      </c>
      <c r="D11" s="338"/>
      <c r="E11" s="339"/>
    </row>
    <row r="12" spans="2:5" x14ac:dyDescent="0.3">
      <c r="B12" s="340">
        <v>1</v>
      </c>
      <c r="C12" s="341" t="s">
        <v>18</v>
      </c>
      <c r="D12" s="342">
        <v>2</v>
      </c>
      <c r="E12" s="343">
        <v>600000</v>
      </c>
    </row>
    <row r="13" spans="2:5" x14ac:dyDescent="0.3">
      <c r="B13" s="340">
        <v>2</v>
      </c>
      <c r="C13" s="341" t="s">
        <v>4</v>
      </c>
      <c r="D13" s="342">
        <v>7</v>
      </c>
      <c r="E13" s="343">
        <v>630000</v>
      </c>
    </row>
    <row r="14" spans="2:5" x14ac:dyDescent="0.3">
      <c r="B14" s="340">
        <v>3</v>
      </c>
      <c r="C14" s="341" t="s">
        <v>17</v>
      </c>
      <c r="D14" s="342">
        <v>1</v>
      </c>
      <c r="E14" s="343">
        <v>410000</v>
      </c>
    </row>
    <row r="15" spans="2:5" x14ac:dyDescent="0.3">
      <c r="B15" s="340">
        <v>4</v>
      </c>
      <c r="C15" s="341" t="s">
        <v>15</v>
      </c>
      <c r="D15" s="342">
        <v>13</v>
      </c>
      <c r="E15" s="343">
        <v>3380000</v>
      </c>
    </row>
    <row r="16" spans="2:5" ht="20.25" thickBot="1" x14ac:dyDescent="0.35">
      <c r="B16" s="344">
        <v>5</v>
      </c>
      <c r="C16" s="345" t="s">
        <v>16</v>
      </c>
      <c r="D16" s="346">
        <v>49</v>
      </c>
      <c r="E16" s="347">
        <v>9800000</v>
      </c>
    </row>
    <row r="17" spans="2:5" ht="20.25" thickBot="1" x14ac:dyDescent="0.35">
      <c r="B17" s="348"/>
      <c r="C17" s="349" t="s">
        <v>155</v>
      </c>
      <c r="D17" s="350">
        <v>72</v>
      </c>
      <c r="E17" s="351">
        <v>14820000</v>
      </c>
    </row>
    <row r="18" spans="2:5" x14ac:dyDescent="0.3">
      <c r="B18" s="336" t="s">
        <v>5</v>
      </c>
      <c r="C18" s="337" t="s">
        <v>89</v>
      </c>
      <c r="D18" s="338"/>
      <c r="E18" s="339"/>
    </row>
    <row r="19" spans="2:5" x14ac:dyDescent="0.3">
      <c r="B19" s="352">
        <v>6</v>
      </c>
      <c r="C19" s="353" t="s">
        <v>195</v>
      </c>
      <c r="D19" s="354">
        <v>514</v>
      </c>
      <c r="E19" s="355">
        <v>1542000</v>
      </c>
    </row>
    <row r="20" spans="2:5" x14ac:dyDescent="0.3">
      <c r="B20" s="352">
        <v>7</v>
      </c>
      <c r="C20" s="353" t="s">
        <v>196</v>
      </c>
      <c r="D20" s="354">
        <v>41</v>
      </c>
      <c r="E20" s="355">
        <v>451000</v>
      </c>
    </row>
    <row r="21" spans="2:5" x14ac:dyDescent="0.3">
      <c r="B21" s="352">
        <v>8</v>
      </c>
      <c r="C21" s="356" t="s">
        <v>197</v>
      </c>
      <c r="D21" s="354">
        <v>109</v>
      </c>
      <c r="E21" s="355">
        <v>490500</v>
      </c>
    </row>
    <row r="22" spans="2:5" x14ac:dyDescent="0.3">
      <c r="B22" s="352">
        <v>9</v>
      </c>
      <c r="C22" s="356" t="s">
        <v>198</v>
      </c>
      <c r="D22" s="354">
        <v>35</v>
      </c>
      <c r="E22" s="355">
        <v>157500</v>
      </c>
    </row>
    <row r="23" spans="2:5" x14ac:dyDescent="0.3">
      <c r="B23" s="352">
        <v>10</v>
      </c>
      <c r="C23" s="356" t="s">
        <v>199</v>
      </c>
      <c r="D23" s="354">
        <v>1</v>
      </c>
      <c r="E23" s="355">
        <v>9000</v>
      </c>
    </row>
    <row r="24" spans="2:5" x14ac:dyDescent="0.3">
      <c r="B24" s="352">
        <v>11</v>
      </c>
      <c r="C24" s="353" t="s">
        <v>25</v>
      </c>
      <c r="D24" s="354">
        <v>126</v>
      </c>
      <c r="E24" s="355">
        <v>88200</v>
      </c>
    </row>
    <row r="25" spans="2:5" x14ac:dyDescent="0.3">
      <c r="B25" s="352">
        <v>12</v>
      </c>
      <c r="C25" s="353" t="s">
        <v>200</v>
      </c>
      <c r="D25" s="354">
        <v>70</v>
      </c>
      <c r="E25" s="355">
        <v>210000</v>
      </c>
    </row>
    <row r="26" spans="2:5" x14ac:dyDescent="0.3">
      <c r="B26" s="352">
        <v>13</v>
      </c>
      <c r="C26" s="353" t="s">
        <v>201</v>
      </c>
      <c r="D26" s="354">
        <v>161</v>
      </c>
      <c r="E26" s="355">
        <v>241500</v>
      </c>
    </row>
    <row r="27" spans="2:5" x14ac:dyDescent="0.3">
      <c r="B27" s="352">
        <v>14</v>
      </c>
      <c r="C27" s="353" t="s">
        <v>28</v>
      </c>
      <c r="D27" s="354">
        <v>77</v>
      </c>
      <c r="E27" s="355">
        <v>308000</v>
      </c>
    </row>
    <row r="28" spans="2:5" x14ac:dyDescent="0.3">
      <c r="B28" s="352">
        <v>15</v>
      </c>
      <c r="C28" s="353" t="s">
        <v>29</v>
      </c>
      <c r="D28" s="354">
        <v>4</v>
      </c>
      <c r="E28" s="355">
        <v>66000</v>
      </c>
    </row>
    <row r="29" spans="2:5" x14ac:dyDescent="0.3">
      <c r="B29" s="352">
        <v>16</v>
      </c>
      <c r="C29" s="353" t="s">
        <v>30</v>
      </c>
      <c r="D29" s="354">
        <v>69</v>
      </c>
      <c r="E29" s="355">
        <v>207000</v>
      </c>
    </row>
    <row r="30" spans="2:5" x14ac:dyDescent="0.3">
      <c r="B30" s="352">
        <v>17</v>
      </c>
      <c r="C30" s="353" t="s">
        <v>31</v>
      </c>
      <c r="D30" s="354">
        <v>29</v>
      </c>
      <c r="E30" s="355">
        <v>116000</v>
      </c>
    </row>
    <row r="31" spans="2:5" x14ac:dyDescent="0.3">
      <c r="B31" s="352">
        <v>18</v>
      </c>
      <c r="C31" s="353" t="s">
        <v>202</v>
      </c>
      <c r="D31" s="354">
        <v>496</v>
      </c>
      <c r="E31" s="355">
        <v>1240000</v>
      </c>
    </row>
    <row r="32" spans="2:5" x14ac:dyDescent="0.3">
      <c r="B32" s="352">
        <v>19</v>
      </c>
      <c r="C32" s="353" t="s">
        <v>203</v>
      </c>
      <c r="D32" s="354">
        <v>538</v>
      </c>
      <c r="E32" s="355">
        <v>1345000</v>
      </c>
    </row>
    <row r="33" spans="2:5" x14ac:dyDescent="0.3">
      <c r="B33" s="352">
        <v>20</v>
      </c>
      <c r="C33" s="353" t="s">
        <v>204</v>
      </c>
      <c r="D33" s="354">
        <v>434</v>
      </c>
      <c r="E33" s="355">
        <v>870000</v>
      </c>
    </row>
    <row r="34" spans="2:5" x14ac:dyDescent="0.3">
      <c r="B34" s="352">
        <v>21</v>
      </c>
      <c r="C34" s="353" t="s">
        <v>205</v>
      </c>
      <c r="D34" s="354">
        <v>78</v>
      </c>
      <c r="E34" s="355">
        <v>390000</v>
      </c>
    </row>
    <row r="35" spans="2:5" x14ac:dyDescent="0.3">
      <c r="B35" s="352">
        <v>22</v>
      </c>
      <c r="C35" s="353" t="s">
        <v>206</v>
      </c>
      <c r="D35" s="354">
        <v>180</v>
      </c>
      <c r="E35" s="355">
        <v>540000</v>
      </c>
    </row>
    <row r="36" spans="2:5" x14ac:dyDescent="0.3">
      <c r="B36" s="352">
        <v>23</v>
      </c>
      <c r="C36" s="353" t="s">
        <v>38</v>
      </c>
      <c r="D36" s="354">
        <v>170</v>
      </c>
      <c r="E36" s="355">
        <v>425000</v>
      </c>
    </row>
    <row r="37" spans="2:5" x14ac:dyDescent="0.3">
      <c r="B37" s="352">
        <v>24</v>
      </c>
      <c r="C37" s="353" t="s">
        <v>207</v>
      </c>
      <c r="D37" s="354">
        <v>68</v>
      </c>
      <c r="E37" s="355">
        <v>136000</v>
      </c>
    </row>
    <row r="38" spans="2:5" x14ac:dyDescent="0.3">
      <c r="B38" s="352">
        <v>25</v>
      </c>
      <c r="C38" s="353" t="s">
        <v>208</v>
      </c>
      <c r="D38" s="354">
        <v>56</v>
      </c>
      <c r="E38" s="355">
        <v>168000</v>
      </c>
    </row>
    <row r="39" spans="2:5" x14ac:dyDescent="0.3">
      <c r="B39" s="352">
        <v>26</v>
      </c>
      <c r="C39" s="353" t="s">
        <v>209</v>
      </c>
      <c r="D39" s="354">
        <v>96</v>
      </c>
      <c r="E39" s="355">
        <v>243000</v>
      </c>
    </row>
    <row r="40" spans="2:5" x14ac:dyDescent="0.3">
      <c r="B40" s="352">
        <v>27</v>
      </c>
      <c r="C40" s="353" t="s">
        <v>210</v>
      </c>
      <c r="D40" s="354">
        <v>26</v>
      </c>
      <c r="E40" s="355">
        <v>52000</v>
      </c>
    </row>
    <row r="41" spans="2:5" x14ac:dyDescent="0.3">
      <c r="B41" s="352">
        <v>28</v>
      </c>
      <c r="C41" s="353" t="s">
        <v>43</v>
      </c>
      <c r="D41" s="354">
        <v>137</v>
      </c>
      <c r="E41" s="355">
        <v>164400</v>
      </c>
    </row>
    <row r="42" spans="2:5" x14ac:dyDescent="0.3">
      <c r="B42" s="352">
        <v>29</v>
      </c>
      <c r="C42" s="353" t="s">
        <v>44</v>
      </c>
      <c r="D42" s="354">
        <v>89</v>
      </c>
      <c r="E42" s="355">
        <v>178000</v>
      </c>
    </row>
    <row r="43" spans="2:5" x14ac:dyDescent="0.3">
      <c r="B43" s="352">
        <v>30</v>
      </c>
      <c r="C43" s="353" t="s">
        <v>45</v>
      </c>
      <c r="D43" s="354">
        <v>63</v>
      </c>
      <c r="E43" s="355">
        <v>472500</v>
      </c>
    </row>
    <row r="44" spans="2:5" x14ac:dyDescent="0.3">
      <c r="B44" s="352">
        <v>31</v>
      </c>
      <c r="C44" s="353" t="s">
        <v>46</v>
      </c>
      <c r="D44" s="354">
        <v>21</v>
      </c>
      <c r="E44" s="355">
        <v>189000</v>
      </c>
    </row>
    <row r="45" spans="2:5" x14ac:dyDescent="0.3">
      <c r="B45" s="352">
        <v>32</v>
      </c>
      <c r="C45" s="353" t="s">
        <v>211</v>
      </c>
      <c r="D45" s="354">
        <v>124</v>
      </c>
      <c r="E45" s="355">
        <v>186000</v>
      </c>
    </row>
    <row r="46" spans="2:5" x14ac:dyDescent="0.3">
      <c r="B46" s="352">
        <v>33</v>
      </c>
      <c r="C46" s="353" t="s">
        <v>212</v>
      </c>
      <c r="D46" s="354">
        <v>508</v>
      </c>
      <c r="E46" s="355">
        <v>406400</v>
      </c>
    </row>
    <row r="47" spans="2:5" x14ac:dyDescent="0.3">
      <c r="B47" s="352">
        <v>34</v>
      </c>
      <c r="C47" s="353" t="s">
        <v>49</v>
      </c>
      <c r="D47" s="354">
        <v>2</v>
      </c>
      <c r="E47" s="355">
        <v>3000</v>
      </c>
    </row>
    <row r="48" spans="2:5" x14ac:dyDescent="0.3">
      <c r="B48" s="352">
        <v>35</v>
      </c>
      <c r="C48" s="353" t="s">
        <v>50</v>
      </c>
      <c r="D48" s="354">
        <v>42</v>
      </c>
      <c r="E48" s="355">
        <v>126000</v>
      </c>
    </row>
    <row r="49" spans="2:5" x14ac:dyDescent="0.3">
      <c r="B49" s="352">
        <v>36</v>
      </c>
      <c r="C49" s="353" t="s">
        <v>51</v>
      </c>
      <c r="D49" s="354">
        <v>31</v>
      </c>
      <c r="E49" s="355">
        <v>124000</v>
      </c>
    </row>
    <row r="50" spans="2:5" x14ac:dyDescent="0.3">
      <c r="B50" s="352">
        <v>37</v>
      </c>
      <c r="C50" s="353" t="s">
        <v>52</v>
      </c>
      <c r="D50" s="354">
        <v>196</v>
      </c>
      <c r="E50" s="355">
        <v>588000</v>
      </c>
    </row>
    <row r="51" spans="2:5" x14ac:dyDescent="0.3">
      <c r="B51" s="352">
        <v>38</v>
      </c>
      <c r="C51" s="353" t="s">
        <v>213</v>
      </c>
      <c r="D51" s="354">
        <v>113</v>
      </c>
      <c r="E51" s="355">
        <v>339000</v>
      </c>
    </row>
    <row r="52" spans="2:5" ht="20.25" thickBot="1" x14ac:dyDescent="0.35">
      <c r="B52" s="352">
        <v>39</v>
      </c>
      <c r="C52" s="357" t="s">
        <v>54</v>
      </c>
      <c r="D52" s="358">
        <v>208</v>
      </c>
      <c r="E52" s="359">
        <v>936000</v>
      </c>
    </row>
    <row r="53" spans="2:5" ht="20.25" thickBot="1" x14ac:dyDescent="0.35">
      <c r="B53" s="360"/>
      <c r="C53" s="361" t="s">
        <v>154</v>
      </c>
      <c r="D53" s="362">
        <v>4912</v>
      </c>
      <c r="E53" s="363">
        <v>13008000</v>
      </c>
    </row>
    <row r="54" spans="2:5" x14ac:dyDescent="0.3">
      <c r="B54" s="336" t="s">
        <v>6</v>
      </c>
      <c r="C54" s="364" t="s">
        <v>61</v>
      </c>
      <c r="D54" s="338"/>
      <c r="E54" s="339"/>
    </row>
    <row r="55" spans="2:5" x14ac:dyDescent="0.3">
      <c r="B55" s="352">
        <v>40</v>
      </c>
      <c r="C55" s="353" t="s">
        <v>64</v>
      </c>
      <c r="D55" s="354">
        <v>190</v>
      </c>
      <c r="E55" s="355">
        <v>1520000</v>
      </c>
    </row>
    <row r="56" spans="2:5" x14ac:dyDescent="0.3">
      <c r="B56" s="352">
        <v>41</v>
      </c>
      <c r="C56" s="353" t="s">
        <v>65</v>
      </c>
      <c r="D56" s="354">
        <v>49</v>
      </c>
      <c r="E56" s="355">
        <v>882000</v>
      </c>
    </row>
    <row r="57" spans="2:5" x14ac:dyDescent="0.3">
      <c r="B57" s="352">
        <v>42</v>
      </c>
      <c r="C57" s="365" t="s">
        <v>66</v>
      </c>
      <c r="D57" s="354">
        <v>53</v>
      </c>
      <c r="E57" s="355">
        <v>219000</v>
      </c>
    </row>
    <row r="58" spans="2:5" x14ac:dyDescent="0.3">
      <c r="B58" s="352">
        <v>43</v>
      </c>
      <c r="C58" s="353" t="s">
        <v>67</v>
      </c>
      <c r="D58" s="354">
        <v>101</v>
      </c>
      <c r="E58" s="355">
        <v>606000</v>
      </c>
    </row>
    <row r="59" spans="2:5" x14ac:dyDescent="0.3">
      <c r="B59" s="352">
        <v>44</v>
      </c>
      <c r="C59" s="353" t="s">
        <v>68</v>
      </c>
      <c r="D59" s="354">
        <v>29</v>
      </c>
      <c r="E59" s="355">
        <v>232000</v>
      </c>
    </row>
    <row r="60" spans="2:5" x14ac:dyDescent="0.3">
      <c r="B60" s="352">
        <v>45</v>
      </c>
      <c r="C60" s="353" t="s">
        <v>69</v>
      </c>
      <c r="D60" s="354">
        <v>4</v>
      </c>
      <c r="E60" s="355">
        <v>20000</v>
      </c>
    </row>
    <row r="61" spans="2:5" x14ac:dyDescent="0.3">
      <c r="B61" s="352">
        <v>46</v>
      </c>
      <c r="C61" s="353" t="s">
        <v>70</v>
      </c>
      <c r="D61" s="354">
        <v>2</v>
      </c>
      <c r="E61" s="355">
        <v>60000</v>
      </c>
    </row>
    <row r="62" spans="2:5" x14ac:dyDescent="0.3">
      <c r="B62" s="352">
        <v>47</v>
      </c>
      <c r="C62" s="353" t="s">
        <v>71</v>
      </c>
      <c r="D62" s="354">
        <v>28</v>
      </c>
      <c r="E62" s="355">
        <v>280000</v>
      </c>
    </row>
    <row r="63" spans="2:5" x14ac:dyDescent="0.3">
      <c r="B63" s="352">
        <v>48</v>
      </c>
      <c r="C63" s="353" t="s">
        <v>72</v>
      </c>
      <c r="D63" s="354">
        <v>3</v>
      </c>
      <c r="E63" s="355">
        <v>6000</v>
      </c>
    </row>
    <row r="64" spans="2:5" ht="20.25" thickBot="1" x14ac:dyDescent="0.35">
      <c r="B64" s="352">
        <v>49</v>
      </c>
      <c r="C64" s="357" t="s">
        <v>73</v>
      </c>
      <c r="D64" s="358">
        <v>31</v>
      </c>
      <c r="E64" s="359">
        <v>14029500</v>
      </c>
    </row>
    <row r="65" spans="2:5" ht="20.25" thickBot="1" x14ac:dyDescent="0.35">
      <c r="B65" s="360"/>
      <c r="C65" s="361" t="s">
        <v>156</v>
      </c>
      <c r="D65" s="363">
        <v>490</v>
      </c>
      <c r="E65" s="363">
        <v>17854500</v>
      </c>
    </row>
    <row r="66" spans="2:5" x14ac:dyDescent="0.3">
      <c r="B66" s="366" t="s">
        <v>7</v>
      </c>
      <c r="C66" s="367" t="s">
        <v>74</v>
      </c>
      <c r="D66" s="368"/>
      <c r="E66" s="369"/>
    </row>
    <row r="67" spans="2:5" x14ac:dyDescent="0.3">
      <c r="B67" s="352">
        <v>50</v>
      </c>
      <c r="C67" s="356" t="s">
        <v>75</v>
      </c>
      <c r="D67" s="354">
        <v>12</v>
      </c>
      <c r="E67" s="355">
        <v>1365000</v>
      </c>
    </row>
    <row r="68" spans="2:5" x14ac:dyDescent="0.3">
      <c r="B68" s="352">
        <v>51</v>
      </c>
      <c r="C68" s="356" t="s">
        <v>76</v>
      </c>
      <c r="D68" s="354">
        <v>4</v>
      </c>
      <c r="E68" s="355">
        <v>60000</v>
      </c>
    </row>
    <row r="69" spans="2:5" x14ac:dyDescent="0.3">
      <c r="B69" s="352">
        <v>52</v>
      </c>
      <c r="C69" s="356" t="s">
        <v>77</v>
      </c>
      <c r="D69" s="354">
        <v>50</v>
      </c>
      <c r="E69" s="355">
        <v>860000</v>
      </c>
    </row>
    <row r="70" spans="2:5" x14ac:dyDescent="0.3">
      <c r="B70" s="352">
        <v>53</v>
      </c>
      <c r="C70" s="356" t="s">
        <v>78</v>
      </c>
      <c r="D70" s="354">
        <v>34</v>
      </c>
      <c r="E70" s="355">
        <v>85000</v>
      </c>
    </row>
    <row r="71" spans="2:5" x14ac:dyDescent="0.3">
      <c r="B71" s="352">
        <v>54</v>
      </c>
      <c r="C71" s="356" t="s">
        <v>79</v>
      </c>
      <c r="D71" s="354">
        <v>52</v>
      </c>
      <c r="E71" s="355">
        <v>416000</v>
      </c>
    </row>
    <row r="72" spans="2:5" x14ac:dyDescent="0.3">
      <c r="B72" s="352">
        <v>55</v>
      </c>
      <c r="C72" s="356" t="s">
        <v>80</v>
      </c>
      <c r="D72" s="354">
        <v>3</v>
      </c>
      <c r="E72" s="355">
        <v>56000</v>
      </c>
    </row>
    <row r="73" spans="2:5" x14ac:dyDescent="0.3">
      <c r="B73" s="352">
        <v>56</v>
      </c>
      <c r="C73" s="356" t="s">
        <v>81</v>
      </c>
      <c r="D73" s="354">
        <v>3</v>
      </c>
      <c r="E73" s="355">
        <v>280000</v>
      </c>
    </row>
    <row r="74" spans="2:5" x14ac:dyDescent="0.3">
      <c r="B74" s="352">
        <v>57</v>
      </c>
      <c r="C74" s="356" t="s">
        <v>82</v>
      </c>
      <c r="D74" s="354">
        <v>9</v>
      </c>
      <c r="E74" s="355">
        <v>126000</v>
      </c>
    </row>
    <row r="75" spans="2:5" x14ac:dyDescent="0.3">
      <c r="B75" s="352">
        <v>58</v>
      </c>
      <c r="C75" s="356" t="s">
        <v>83</v>
      </c>
      <c r="D75" s="354">
        <v>29</v>
      </c>
      <c r="E75" s="355">
        <v>283000</v>
      </c>
    </row>
    <row r="76" spans="2:5" x14ac:dyDescent="0.3">
      <c r="B76" s="352">
        <v>59</v>
      </c>
      <c r="C76" s="356" t="s">
        <v>84</v>
      </c>
      <c r="D76" s="354">
        <v>8</v>
      </c>
      <c r="E76" s="355">
        <v>89500</v>
      </c>
    </row>
    <row r="77" spans="2:5" ht="20.25" thickBot="1" x14ac:dyDescent="0.35">
      <c r="B77" s="352">
        <v>60</v>
      </c>
      <c r="C77" s="370" t="s">
        <v>85</v>
      </c>
      <c r="D77" s="358">
        <v>27</v>
      </c>
      <c r="E77" s="359">
        <v>166000</v>
      </c>
    </row>
    <row r="78" spans="2:5" ht="20.25" thickBot="1" x14ac:dyDescent="0.35">
      <c r="B78" s="360"/>
      <c r="C78" s="361" t="s">
        <v>157</v>
      </c>
      <c r="D78" s="362">
        <v>231</v>
      </c>
      <c r="E78" s="363">
        <v>3786500</v>
      </c>
    </row>
    <row r="79" spans="2:5" x14ac:dyDescent="0.3">
      <c r="B79" s="336" t="s">
        <v>13</v>
      </c>
      <c r="C79" s="364" t="s">
        <v>86</v>
      </c>
      <c r="D79" s="338"/>
      <c r="E79" s="339"/>
    </row>
    <row r="80" spans="2:5" x14ac:dyDescent="0.3">
      <c r="B80" s="352">
        <v>61</v>
      </c>
      <c r="C80" s="365" t="s">
        <v>87</v>
      </c>
      <c r="D80" s="354">
        <v>3</v>
      </c>
      <c r="E80" s="355">
        <v>30000</v>
      </c>
    </row>
    <row r="81" spans="2:5" ht="20.25" thickBot="1" x14ac:dyDescent="0.35">
      <c r="B81" s="371">
        <v>62</v>
      </c>
      <c r="C81" s="372" t="s">
        <v>88</v>
      </c>
      <c r="D81" s="358">
        <v>29</v>
      </c>
      <c r="E81" s="359">
        <v>137400</v>
      </c>
    </row>
    <row r="82" spans="2:5" ht="20.25" thickBot="1" x14ac:dyDescent="0.35">
      <c r="B82" s="360"/>
      <c r="C82" s="361" t="s">
        <v>158</v>
      </c>
      <c r="D82" s="362">
        <v>32</v>
      </c>
      <c r="E82" s="363">
        <v>167400</v>
      </c>
    </row>
    <row r="83" spans="2:5" x14ac:dyDescent="0.3">
      <c r="B83" s="336" t="s">
        <v>8</v>
      </c>
      <c r="C83" s="337" t="s">
        <v>90</v>
      </c>
      <c r="D83" s="338"/>
      <c r="E83" s="339"/>
    </row>
    <row r="84" spans="2:5" x14ac:dyDescent="0.3">
      <c r="B84" s="352">
        <v>63</v>
      </c>
      <c r="C84" s="373" t="s">
        <v>91</v>
      </c>
      <c r="D84" s="354">
        <v>51</v>
      </c>
      <c r="E84" s="355">
        <v>28050000</v>
      </c>
    </row>
    <row r="85" spans="2:5" x14ac:dyDescent="0.3">
      <c r="B85" s="352">
        <v>64</v>
      </c>
      <c r="C85" s="373" t="s">
        <v>92</v>
      </c>
      <c r="D85" s="354">
        <v>50</v>
      </c>
      <c r="E85" s="355">
        <v>22500000</v>
      </c>
    </row>
    <row r="86" spans="2:5" x14ac:dyDescent="0.3">
      <c r="B86" s="352">
        <v>65</v>
      </c>
      <c r="C86" s="373" t="s">
        <v>93</v>
      </c>
      <c r="D86" s="354">
        <v>5</v>
      </c>
      <c r="E86" s="355">
        <v>75000</v>
      </c>
    </row>
    <row r="87" spans="2:5" x14ac:dyDescent="0.3">
      <c r="B87" s="352">
        <v>66</v>
      </c>
      <c r="C87" s="373" t="s">
        <v>94</v>
      </c>
      <c r="D87" s="354">
        <v>21</v>
      </c>
      <c r="E87" s="355">
        <v>2730000</v>
      </c>
    </row>
    <row r="88" spans="2:5" x14ac:dyDescent="0.3">
      <c r="B88" s="352">
        <v>67</v>
      </c>
      <c r="C88" s="353" t="s">
        <v>95</v>
      </c>
      <c r="D88" s="354">
        <v>42</v>
      </c>
      <c r="E88" s="355">
        <v>210000</v>
      </c>
    </row>
    <row r="89" spans="2:5" x14ac:dyDescent="0.3">
      <c r="B89" s="352">
        <v>68</v>
      </c>
      <c r="C89" s="373" t="s">
        <v>96</v>
      </c>
      <c r="D89" s="354">
        <v>45</v>
      </c>
      <c r="E89" s="355">
        <v>225000</v>
      </c>
    </row>
    <row r="90" spans="2:5" x14ac:dyDescent="0.3">
      <c r="B90" s="352">
        <v>69</v>
      </c>
      <c r="C90" s="373" t="s">
        <v>97</v>
      </c>
      <c r="D90" s="354">
        <v>78</v>
      </c>
      <c r="E90" s="355">
        <v>546000</v>
      </c>
    </row>
    <row r="91" spans="2:5" x14ac:dyDescent="0.3">
      <c r="B91" s="352">
        <v>70</v>
      </c>
      <c r="C91" s="373" t="s">
        <v>98</v>
      </c>
      <c r="D91" s="354">
        <v>145</v>
      </c>
      <c r="E91" s="355">
        <v>1160000</v>
      </c>
    </row>
    <row r="92" spans="2:5" x14ac:dyDescent="0.3">
      <c r="B92" s="352">
        <v>71</v>
      </c>
      <c r="C92" s="373" t="s">
        <v>99</v>
      </c>
      <c r="D92" s="354">
        <v>67</v>
      </c>
      <c r="E92" s="355">
        <v>536000</v>
      </c>
    </row>
    <row r="93" spans="2:5" x14ac:dyDescent="0.3">
      <c r="B93" s="352">
        <v>72</v>
      </c>
      <c r="C93" s="373" t="s">
        <v>100</v>
      </c>
      <c r="D93" s="354">
        <v>21</v>
      </c>
      <c r="E93" s="355">
        <v>525000</v>
      </c>
    </row>
    <row r="94" spans="2:5" x14ac:dyDescent="0.3">
      <c r="B94" s="352">
        <v>73</v>
      </c>
      <c r="C94" s="373" t="s">
        <v>101</v>
      </c>
      <c r="D94" s="354">
        <v>193</v>
      </c>
      <c r="E94" s="355">
        <v>289500</v>
      </c>
    </row>
    <row r="95" spans="2:5" x14ac:dyDescent="0.3">
      <c r="B95" s="352">
        <v>74</v>
      </c>
      <c r="C95" s="373" t="s">
        <v>102</v>
      </c>
      <c r="D95" s="354">
        <v>325</v>
      </c>
      <c r="E95" s="355">
        <v>11375000</v>
      </c>
    </row>
    <row r="96" spans="2:5" ht="20.25" thickBot="1" x14ac:dyDescent="0.35">
      <c r="B96" s="352">
        <v>75</v>
      </c>
      <c r="C96" s="357" t="s">
        <v>103</v>
      </c>
      <c r="D96" s="358">
        <v>400</v>
      </c>
      <c r="E96" s="359">
        <v>600000</v>
      </c>
    </row>
    <row r="97" spans="2:5" ht="20.25" thickBot="1" x14ac:dyDescent="0.35">
      <c r="B97" s="348"/>
      <c r="C97" s="349" t="s">
        <v>159</v>
      </c>
      <c r="D97" s="350">
        <v>1443</v>
      </c>
      <c r="E97" s="351">
        <v>68821500</v>
      </c>
    </row>
    <row r="98" spans="2:5" x14ac:dyDescent="0.3">
      <c r="B98" s="374" t="s">
        <v>9</v>
      </c>
      <c r="C98" s="375" t="s">
        <v>104</v>
      </c>
      <c r="D98" s="338"/>
      <c r="E98" s="339"/>
    </row>
    <row r="99" spans="2:5" x14ac:dyDescent="0.3">
      <c r="B99" s="352">
        <v>76</v>
      </c>
      <c r="C99" s="373" t="s">
        <v>105</v>
      </c>
      <c r="D99" s="354">
        <v>1000</v>
      </c>
      <c r="E99" s="355">
        <v>10150000</v>
      </c>
    </row>
    <row r="100" spans="2:5" x14ac:dyDescent="0.3">
      <c r="B100" s="352">
        <v>77</v>
      </c>
      <c r="C100" s="353" t="s">
        <v>106</v>
      </c>
      <c r="D100" s="354">
        <v>151</v>
      </c>
      <c r="E100" s="355">
        <v>2500000</v>
      </c>
    </row>
    <row r="101" spans="2:5" x14ac:dyDescent="0.3">
      <c r="B101" s="352">
        <v>78</v>
      </c>
      <c r="C101" s="353" t="s">
        <v>107</v>
      </c>
      <c r="D101" s="354">
        <v>20</v>
      </c>
      <c r="E101" s="355">
        <v>200000</v>
      </c>
    </row>
    <row r="102" spans="2:5" x14ac:dyDescent="0.3">
      <c r="B102" s="352">
        <v>79</v>
      </c>
      <c r="C102" s="373" t="s">
        <v>214</v>
      </c>
      <c r="D102" s="354">
        <v>450</v>
      </c>
      <c r="E102" s="355">
        <v>3170000</v>
      </c>
    </row>
    <row r="103" spans="2:5" x14ac:dyDescent="0.3">
      <c r="B103" s="352">
        <v>80</v>
      </c>
      <c r="C103" s="373" t="s">
        <v>215</v>
      </c>
      <c r="D103" s="354">
        <v>100</v>
      </c>
      <c r="E103" s="355">
        <v>300000</v>
      </c>
    </row>
    <row r="104" spans="2:5" x14ac:dyDescent="0.3">
      <c r="B104" s="352">
        <v>81</v>
      </c>
      <c r="C104" s="373" t="s">
        <v>216</v>
      </c>
      <c r="D104" s="354">
        <v>40</v>
      </c>
      <c r="E104" s="355">
        <v>1280000</v>
      </c>
    </row>
    <row r="105" spans="2:5" x14ac:dyDescent="0.3">
      <c r="B105" s="352">
        <v>82</v>
      </c>
      <c r="C105" s="373" t="s">
        <v>217</v>
      </c>
      <c r="D105" s="354">
        <v>61</v>
      </c>
      <c r="E105" s="355">
        <v>1000000</v>
      </c>
    </row>
    <row r="106" spans="2:5" x14ac:dyDescent="0.3">
      <c r="B106" s="352">
        <v>83</v>
      </c>
      <c r="C106" s="373" t="s">
        <v>279</v>
      </c>
      <c r="D106" s="354">
        <v>15</v>
      </c>
      <c r="E106" s="355">
        <v>3850000</v>
      </c>
    </row>
    <row r="107" spans="2:5" x14ac:dyDescent="0.3">
      <c r="B107" s="352">
        <v>84</v>
      </c>
      <c r="C107" s="373" t="s">
        <v>116</v>
      </c>
      <c r="D107" s="354">
        <v>46</v>
      </c>
      <c r="E107" s="355">
        <v>380000</v>
      </c>
    </row>
    <row r="108" spans="2:5" x14ac:dyDescent="0.3">
      <c r="B108" s="352">
        <v>85</v>
      </c>
      <c r="C108" s="373" t="s">
        <v>218</v>
      </c>
      <c r="D108" s="354">
        <v>901</v>
      </c>
      <c r="E108" s="355">
        <v>2080000</v>
      </c>
    </row>
    <row r="109" spans="2:5" x14ac:dyDescent="0.3">
      <c r="B109" s="352">
        <v>86</v>
      </c>
      <c r="C109" s="353" t="s">
        <v>118</v>
      </c>
      <c r="D109" s="354">
        <v>1</v>
      </c>
      <c r="E109" s="355">
        <v>100000</v>
      </c>
    </row>
    <row r="110" spans="2:5" x14ac:dyDescent="0.3">
      <c r="B110" s="352">
        <v>87</v>
      </c>
      <c r="C110" s="373" t="s">
        <v>119</v>
      </c>
      <c r="D110" s="354">
        <v>1</v>
      </c>
      <c r="E110" s="355">
        <v>18000000</v>
      </c>
    </row>
    <row r="111" spans="2:5" x14ac:dyDescent="0.3">
      <c r="B111" s="352">
        <v>88</v>
      </c>
      <c r="C111" s="353" t="s">
        <v>120</v>
      </c>
      <c r="D111" s="354">
        <v>1</v>
      </c>
      <c r="E111" s="355">
        <v>12000000</v>
      </c>
    </row>
    <row r="112" spans="2:5" x14ac:dyDescent="0.3">
      <c r="B112" s="352">
        <v>89</v>
      </c>
      <c r="C112" s="353" t="s">
        <v>219</v>
      </c>
      <c r="D112" s="354">
        <v>1</v>
      </c>
      <c r="E112" s="355">
        <v>46500000</v>
      </c>
    </row>
    <row r="113" spans="2:5" x14ac:dyDescent="0.3">
      <c r="B113" s="352">
        <v>90</v>
      </c>
      <c r="C113" s="353" t="s">
        <v>220</v>
      </c>
      <c r="D113" s="354">
        <v>1</v>
      </c>
      <c r="E113" s="355">
        <v>25000000</v>
      </c>
    </row>
    <row r="114" spans="2:5" x14ac:dyDescent="0.3">
      <c r="B114" s="352">
        <v>91</v>
      </c>
      <c r="C114" s="376" t="s">
        <v>221</v>
      </c>
      <c r="D114" s="354">
        <v>1</v>
      </c>
      <c r="E114" s="355">
        <v>20000000</v>
      </c>
    </row>
    <row r="115" spans="2:5" x14ac:dyDescent="0.3">
      <c r="B115" s="352">
        <v>92</v>
      </c>
      <c r="C115" s="353" t="s">
        <v>222</v>
      </c>
      <c r="D115" s="354">
        <v>1</v>
      </c>
      <c r="E115" s="355">
        <v>10000000</v>
      </c>
    </row>
    <row r="116" spans="2:5" x14ac:dyDescent="0.3">
      <c r="B116" s="352">
        <v>93</v>
      </c>
      <c r="C116" s="353" t="s">
        <v>223</v>
      </c>
      <c r="D116" s="354">
        <v>1</v>
      </c>
      <c r="E116" s="355">
        <v>10000000</v>
      </c>
    </row>
    <row r="117" spans="2:5" x14ac:dyDescent="0.3">
      <c r="B117" s="352">
        <v>94</v>
      </c>
      <c r="C117" s="353" t="s">
        <v>224</v>
      </c>
      <c r="D117" s="354">
        <v>1</v>
      </c>
      <c r="E117" s="355">
        <v>3240000</v>
      </c>
    </row>
    <row r="118" spans="2:5" x14ac:dyDescent="0.3">
      <c r="B118" s="352">
        <v>95</v>
      </c>
      <c r="C118" s="353" t="s">
        <v>225</v>
      </c>
      <c r="D118" s="354">
        <v>1</v>
      </c>
      <c r="E118" s="355">
        <v>3240000</v>
      </c>
    </row>
    <row r="119" spans="2:5" x14ac:dyDescent="0.3">
      <c r="B119" s="352">
        <v>96</v>
      </c>
      <c r="C119" s="377" t="s">
        <v>134</v>
      </c>
      <c r="D119" s="354">
        <v>1</v>
      </c>
      <c r="E119" s="355">
        <v>100000</v>
      </c>
    </row>
    <row r="120" spans="2:5" x14ac:dyDescent="0.3">
      <c r="B120" s="352">
        <v>97</v>
      </c>
      <c r="C120" s="373" t="s">
        <v>135</v>
      </c>
      <c r="D120" s="354">
        <v>1</v>
      </c>
      <c r="E120" s="355">
        <v>200000</v>
      </c>
    </row>
    <row r="121" spans="2:5" x14ac:dyDescent="0.3">
      <c r="B121" s="352">
        <v>98</v>
      </c>
      <c r="C121" s="373" t="s">
        <v>226</v>
      </c>
      <c r="D121" s="354">
        <v>1</v>
      </c>
      <c r="E121" s="355">
        <v>2000000</v>
      </c>
    </row>
    <row r="122" spans="2:5" x14ac:dyDescent="0.3">
      <c r="B122" s="352">
        <v>99</v>
      </c>
      <c r="C122" s="373" t="s">
        <v>137</v>
      </c>
      <c r="D122" s="354">
        <v>300000</v>
      </c>
      <c r="E122" s="355">
        <v>4500000</v>
      </c>
    </row>
    <row r="123" spans="2:5" x14ac:dyDescent="0.3">
      <c r="B123" s="352">
        <v>100</v>
      </c>
      <c r="C123" s="373" t="s">
        <v>138</v>
      </c>
      <c r="D123" s="354">
        <v>300000</v>
      </c>
      <c r="E123" s="355">
        <v>12000000</v>
      </c>
    </row>
    <row r="124" spans="2:5" x14ac:dyDescent="0.3">
      <c r="B124" s="352">
        <v>101</v>
      </c>
      <c r="C124" s="353" t="s">
        <v>139</v>
      </c>
      <c r="D124" s="354">
        <v>100000</v>
      </c>
      <c r="E124" s="355">
        <v>5000000</v>
      </c>
    </row>
    <row r="125" spans="2:5" x14ac:dyDescent="0.3">
      <c r="B125" s="352">
        <v>102</v>
      </c>
      <c r="C125" s="353" t="s">
        <v>140</v>
      </c>
      <c r="D125" s="354">
        <v>100000</v>
      </c>
      <c r="E125" s="355">
        <v>5000000</v>
      </c>
    </row>
    <row r="126" spans="2:5" x14ac:dyDescent="0.3">
      <c r="B126" s="352">
        <v>103</v>
      </c>
      <c r="C126" s="353" t="s">
        <v>141</v>
      </c>
      <c r="D126" s="354">
        <v>100000</v>
      </c>
      <c r="E126" s="355">
        <v>5000000</v>
      </c>
    </row>
    <row r="127" spans="2:5" x14ac:dyDescent="0.3">
      <c r="B127" s="352">
        <v>104</v>
      </c>
      <c r="C127" s="353" t="s">
        <v>142</v>
      </c>
      <c r="D127" s="354">
        <v>14</v>
      </c>
      <c r="E127" s="355">
        <v>2800000</v>
      </c>
    </row>
    <row r="128" spans="2:5" x14ac:dyDescent="0.3">
      <c r="B128" s="352">
        <v>105</v>
      </c>
      <c r="C128" s="373" t="s">
        <v>143</v>
      </c>
      <c r="D128" s="354">
        <v>100</v>
      </c>
      <c r="E128" s="355">
        <v>34720000</v>
      </c>
    </row>
    <row r="129" spans="2:5" x14ac:dyDescent="0.3">
      <c r="B129" s="352">
        <v>106</v>
      </c>
      <c r="C129" s="353" t="s">
        <v>144</v>
      </c>
      <c r="D129" s="354">
        <v>1000</v>
      </c>
      <c r="E129" s="355">
        <v>3000000</v>
      </c>
    </row>
    <row r="130" spans="2:5" ht="37.5" x14ac:dyDescent="0.3">
      <c r="B130" s="352">
        <v>107</v>
      </c>
      <c r="C130" s="373" t="s">
        <v>145</v>
      </c>
      <c r="D130" s="354">
        <v>1</v>
      </c>
      <c r="E130" s="355">
        <v>2200000</v>
      </c>
    </row>
    <row r="131" spans="2:5" x14ac:dyDescent="0.3">
      <c r="B131" s="352">
        <v>108</v>
      </c>
      <c r="C131" s="373" t="s">
        <v>146</v>
      </c>
      <c r="D131" s="354">
        <v>1</v>
      </c>
      <c r="E131" s="355">
        <v>60000</v>
      </c>
    </row>
    <row r="132" spans="2:5" x14ac:dyDescent="0.3">
      <c r="B132" s="352">
        <v>109</v>
      </c>
      <c r="C132" s="373" t="s">
        <v>147</v>
      </c>
      <c r="D132" s="354">
        <v>1</v>
      </c>
      <c r="E132" s="355">
        <v>1000000</v>
      </c>
    </row>
    <row r="133" spans="2:5" x14ac:dyDescent="0.3">
      <c r="B133" s="352">
        <v>110</v>
      </c>
      <c r="C133" s="373" t="s">
        <v>148</v>
      </c>
      <c r="D133" s="354">
        <v>15000</v>
      </c>
      <c r="E133" s="355">
        <v>1800000</v>
      </c>
    </row>
    <row r="134" spans="2:5" x14ac:dyDescent="0.3">
      <c r="B134" s="352">
        <v>111</v>
      </c>
      <c r="C134" s="373" t="s">
        <v>149</v>
      </c>
      <c r="D134" s="354">
        <v>2</v>
      </c>
      <c r="E134" s="355">
        <v>170000</v>
      </c>
    </row>
    <row r="135" spans="2:5" x14ac:dyDescent="0.3">
      <c r="B135" s="352">
        <v>112</v>
      </c>
      <c r="C135" s="373" t="s">
        <v>150</v>
      </c>
      <c r="D135" s="354">
        <v>1</v>
      </c>
      <c r="E135" s="355">
        <v>15000</v>
      </c>
    </row>
    <row r="136" spans="2:5" x14ac:dyDescent="0.3">
      <c r="B136" s="352">
        <v>113</v>
      </c>
      <c r="C136" s="373" t="s">
        <v>151</v>
      </c>
      <c r="D136" s="354">
        <v>16</v>
      </c>
      <c r="E136" s="355">
        <v>164000</v>
      </c>
    </row>
    <row r="137" spans="2:5" ht="20.25" thickBot="1" x14ac:dyDescent="0.35">
      <c r="B137" s="352">
        <v>114</v>
      </c>
      <c r="C137" s="357" t="s">
        <v>152</v>
      </c>
      <c r="D137" s="358">
        <v>61</v>
      </c>
      <c r="E137" s="359">
        <v>2920000</v>
      </c>
    </row>
    <row r="138" spans="2:5" ht="20.25" thickBot="1" x14ac:dyDescent="0.35">
      <c r="B138" s="378"/>
      <c r="C138" s="361" t="s">
        <v>160</v>
      </c>
      <c r="D138" s="362">
        <v>918979</v>
      </c>
      <c r="E138" s="363">
        <f>SUM(E99:E137)</f>
        <v>255639000</v>
      </c>
    </row>
    <row r="139" spans="2:5" x14ac:dyDescent="0.3">
      <c r="B139" s="374" t="s">
        <v>10</v>
      </c>
      <c r="C139" s="375" t="s">
        <v>153</v>
      </c>
      <c r="D139" s="338"/>
      <c r="E139" s="339"/>
    </row>
    <row r="140" spans="2:5" x14ac:dyDescent="0.3">
      <c r="B140" s="352">
        <v>115</v>
      </c>
      <c r="C140" s="373" t="s">
        <v>163</v>
      </c>
      <c r="D140" s="354">
        <v>372</v>
      </c>
      <c r="E140" s="355">
        <v>6581300</v>
      </c>
    </row>
    <row r="141" spans="2:5" x14ac:dyDescent="0.3">
      <c r="B141" s="352">
        <v>116</v>
      </c>
      <c r="C141" s="373" t="s">
        <v>164</v>
      </c>
      <c r="D141" s="354">
        <v>86</v>
      </c>
      <c r="E141" s="355">
        <v>2703720</v>
      </c>
    </row>
    <row r="142" spans="2:5" x14ac:dyDescent="0.3">
      <c r="B142" s="352">
        <v>117</v>
      </c>
      <c r="C142" s="373" t="s">
        <v>165</v>
      </c>
      <c r="D142" s="354">
        <v>27</v>
      </c>
      <c r="E142" s="355">
        <v>81892</v>
      </c>
    </row>
    <row r="143" spans="2:5" x14ac:dyDescent="0.3">
      <c r="B143" s="352">
        <v>118</v>
      </c>
      <c r="C143" s="373" t="s">
        <v>166</v>
      </c>
      <c r="D143" s="354">
        <v>840</v>
      </c>
      <c r="E143" s="355">
        <v>5213590</v>
      </c>
    </row>
    <row r="144" spans="2:5" x14ac:dyDescent="0.3">
      <c r="B144" s="352">
        <v>119</v>
      </c>
      <c r="C144" s="373" t="s">
        <v>167</v>
      </c>
      <c r="D144" s="354">
        <v>1</v>
      </c>
      <c r="E144" s="355">
        <v>98000</v>
      </c>
    </row>
    <row r="145" spans="2:5" x14ac:dyDescent="0.3">
      <c r="B145" s="352">
        <v>120</v>
      </c>
      <c r="C145" s="373" t="s">
        <v>168</v>
      </c>
      <c r="D145" s="354">
        <v>1</v>
      </c>
      <c r="E145" s="355">
        <v>200000</v>
      </c>
    </row>
    <row r="146" spans="2:5" x14ac:dyDescent="0.3">
      <c r="B146" s="352">
        <v>121</v>
      </c>
      <c r="C146" s="373" t="s">
        <v>169</v>
      </c>
      <c r="D146" s="354">
        <v>44</v>
      </c>
      <c r="E146" s="355">
        <v>2392180</v>
      </c>
    </row>
    <row r="147" spans="2:5" x14ac:dyDescent="0.3">
      <c r="B147" s="352">
        <v>122</v>
      </c>
      <c r="C147" s="373" t="s">
        <v>170</v>
      </c>
      <c r="D147" s="354">
        <v>148</v>
      </c>
      <c r="E147" s="354">
        <v>411450</v>
      </c>
    </row>
    <row r="148" spans="2:5" x14ac:dyDescent="0.3">
      <c r="B148" s="352">
        <v>123</v>
      </c>
      <c r="C148" s="373" t="s">
        <v>277</v>
      </c>
      <c r="D148" s="354">
        <v>15</v>
      </c>
      <c r="E148" s="354">
        <v>330000</v>
      </c>
    </row>
    <row r="149" spans="2:5" x14ac:dyDescent="0.3">
      <c r="B149" s="352">
        <v>124</v>
      </c>
      <c r="C149" s="373" t="s">
        <v>278</v>
      </c>
      <c r="D149" s="354">
        <v>10</v>
      </c>
      <c r="E149" s="354">
        <v>220000</v>
      </c>
    </row>
    <row r="150" spans="2:5" x14ac:dyDescent="0.3">
      <c r="B150" s="352">
        <v>125</v>
      </c>
      <c r="C150" s="373" t="s">
        <v>171</v>
      </c>
      <c r="D150" s="354">
        <v>400</v>
      </c>
      <c r="E150" s="355">
        <v>680000</v>
      </c>
    </row>
    <row r="151" spans="2:5" x14ac:dyDescent="0.3">
      <c r="B151" s="352">
        <v>126</v>
      </c>
      <c r="C151" s="353" t="s">
        <v>172</v>
      </c>
      <c r="D151" s="354">
        <v>8</v>
      </c>
      <c r="E151" s="355">
        <v>98000</v>
      </c>
    </row>
    <row r="152" spans="2:5" x14ac:dyDescent="0.3">
      <c r="B152" s="352">
        <v>127</v>
      </c>
      <c r="C152" s="373" t="s">
        <v>173</v>
      </c>
      <c r="D152" s="354">
        <v>76</v>
      </c>
      <c r="E152" s="355">
        <v>241000</v>
      </c>
    </row>
    <row r="153" spans="2:5" x14ac:dyDescent="0.3">
      <c r="B153" s="352">
        <v>128</v>
      </c>
      <c r="C153" s="373" t="s">
        <v>174</v>
      </c>
      <c r="D153" s="354">
        <v>16</v>
      </c>
      <c r="E153" s="355">
        <v>96500</v>
      </c>
    </row>
    <row r="154" spans="2:5" x14ac:dyDescent="0.3">
      <c r="B154" s="352">
        <v>129</v>
      </c>
      <c r="C154" s="373" t="s">
        <v>175</v>
      </c>
      <c r="D154" s="354">
        <v>26</v>
      </c>
      <c r="E154" s="355">
        <v>1845000</v>
      </c>
    </row>
    <row r="155" spans="2:5" x14ac:dyDescent="0.3">
      <c r="B155" s="352">
        <v>130</v>
      </c>
      <c r="C155" s="373" t="s">
        <v>176</v>
      </c>
      <c r="D155" s="354">
        <v>1</v>
      </c>
      <c r="E155" s="355">
        <v>950000</v>
      </c>
    </row>
    <row r="156" spans="2:5" x14ac:dyDescent="0.3">
      <c r="B156" s="352">
        <v>131</v>
      </c>
      <c r="C156" s="377" t="s">
        <v>227</v>
      </c>
      <c r="D156" s="354">
        <v>4300</v>
      </c>
      <c r="E156" s="355">
        <v>1081000</v>
      </c>
    </row>
    <row r="157" spans="2:5" x14ac:dyDescent="0.3">
      <c r="B157" s="352">
        <v>132</v>
      </c>
      <c r="C157" s="373" t="s">
        <v>228</v>
      </c>
      <c r="D157" s="354">
        <v>1</v>
      </c>
      <c r="E157" s="355">
        <v>580000</v>
      </c>
    </row>
    <row r="158" spans="2:5" x14ac:dyDescent="0.3">
      <c r="B158" s="352">
        <v>133</v>
      </c>
      <c r="C158" s="353" t="s">
        <v>229</v>
      </c>
      <c r="D158" s="354">
        <v>2</v>
      </c>
      <c r="E158" s="355">
        <v>182800</v>
      </c>
    </row>
    <row r="159" spans="2:5" x14ac:dyDescent="0.3">
      <c r="B159" s="352">
        <v>134</v>
      </c>
      <c r="C159" s="353" t="s">
        <v>180</v>
      </c>
      <c r="D159" s="354">
        <v>2</v>
      </c>
      <c r="E159" s="355">
        <v>310500</v>
      </c>
    </row>
    <row r="160" spans="2:5" x14ac:dyDescent="0.3">
      <c r="B160" s="352">
        <v>135</v>
      </c>
      <c r="C160" s="353" t="s">
        <v>181</v>
      </c>
      <c r="D160" s="354">
        <v>24</v>
      </c>
      <c r="E160" s="355">
        <v>360000</v>
      </c>
    </row>
    <row r="161" spans="2:5" x14ac:dyDescent="0.3">
      <c r="B161" s="352">
        <v>136</v>
      </c>
      <c r="C161" s="353" t="s">
        <v>182</v>
      </c>
      <c r="D161" s="354">
        <v>1</v>
      </c>
      <c r="E161" s="355">
        <v>550000</v>
      </c>
    </row>
    <row r="162" spans="2:5" x14ac:dyDescent="0.3">
      <c r="B162" s="352">
        <v>137</v>
      </c>
      <c r="C162" s="353" t="s">
        <v>183</v>
      </c>
      <c r="D162" s="354">
        <v>1</v>
      </c>
      <c r="E162" s="355">
        <v>539000</v>
      </c>
    </row>
    <row r="163" spans="2:5" x14ac:dyDescent="0.3">
      <c r="B163" s="352">
        <v>138</v>
      </c>
      <c r="C163" s="353" t="s">
        <v>184</v>
      </c>
      <c r="D163" s="354">
        <v>1</v>
      </c>
      <c r="E163" s="355">
        <v>7000000</v>
      </c>
    </row>
    <row r="164" spans="2:5" ht="38.25" x14ac:dyDescent="0.3">
      <c r="B164" s="352">
        <v>139</v>
      </c>
      <c r="C164" s="353" t="s">
        <v>185</v>
      </c>
      <c r="D164" s="354">
        <v>1</v>
      </c>
      <c r="E164" s="355">
        <v>7700000</v>
      </c>
    </row>
    <row r="165" spans="2:5" x14ac:dyDescent="0.3">
      <c r="B165" s="352">
        <v>140</v>
      </c>
      <c r="C165" s="353" t="s">
        <v>186</v>
      </c>
      <c r="D165" s="354">
        <v>4</v>
      </c>
      <c r="E165" s="355">
        <v>140000</v>
      </c>
    </row>
    <row r="166" spans="2:5" x14ac:dyDescent="0.3">
      <c r="B166" s="352">
        <v>141</v>
      </c>
      <c r="C166" s="353" t="s">
        <v>187</v>
      </c>
      <c r="D166" s="354">
        <v>50</v>
      </c>
      <c r="E166" s="355">
        <v>3000000</v>
      </c>
    </row>
    <row r="167" spans="2:5" x14ac:dyDescent="0.3">
      <c r="B167" s="352">
        <v>142</v>
      </c>
      <c r="C167" s="353" t="s">
        <v>188</v>
      </c>
      <c r="D167" s="354">
        <v>1</v>
      </c>
      <c r="E167" s="355">
        <v>300000</v>
      </c>
    </row>
    <row r="168" spans="2:5" x14ac:dyDescent="0.3">
      <c r="B168" s="352">
        <v>143</v>
      </c>
      <c r="C168" s="353" t="s">
        <v>189</v>
      </c>
      <c r="D168" s="354">
        <v>1</v>
      </c>
      <c r="E168" s="355">
        <v>25000</v>
      </c>
    </row>
    <row r="169" spans="2:5" x14ac:dyDescent="0.3">
      <c r="B169" s="352">
        <v>144</v>
      </c>
      <c r="C169" s="373" t="s">
        <v>190</v>
      </c>
      <c r="D169" s="354">
        <v>1</v>
      </c>
      <c r="E169" s="355">
        <v>200000</v>
      </c>
    </row>
    <row r="170" spans="2:5" ht="20.25" thickBot="1" x14ac:dyDescent="0.35">
      <c r="B170" s="352">
        <v>145</v>
      </c>
      <c r="C170" s="385" t="s">
        <v>191</v>
      </c>
      <c r="D170" s="386">
        <v>47</v>
      </c>
      <c r="E170" s="387">
        <v>551000</v>
      </c>
    </row>
    <row r="171" spans="2:5" ht="20.25" thickBot="1" x14ac:dyDescent="0.35">
      <c r="B171" s="388"/>
      <c r="C171" s="389" t="s">
        <v>161</v>
      </c>
      <c r="D171" s="390">
        <v>6483</v>
      </c>
      <c r="E171" s="391">
        <f>SUM(E140:E170)</f>
        <v>44661932</v>
      </c>
    </row>
    <row r="172" spans="2:5" ht="20.25" thickBot="1" x14ac:dyDescent="0.35">
      <c r="B172" s="392"/>
      <c r="C172" s="393"/>
      <c r="D172" s="394"/>
      <c r="E172" s="395"/>
    </row>
    <row r="173" spans="2:5" ht="20.25" thickBot="1" x14ac:dyDescent="0.35">
      <c r="B173" s="379"/>
      <c r="C173" s="398" t="s">
        <v>234</v>
      </c>
      <c r="D173" s="396">
        <v>932642</v>
      </c>
      <c r="E173" s="397">
        <f>E171+E138+E97+E82+E78+E65+E53+E17</f>
        <v>418758832</v>
      </c>
    </row>
    <row r="175" spans="2:5" x14ac:dyDescent="0.3">
      <c r="E175" s="380"/>
    </row>
    <row r="176" spans="2:5" s="381" customFormat="1" x14ac:dyDescent="0.3">
      <c r="B176" s="322"/>
      <c r="C176" s="322" t="s">
        <v>193</v>
      </c>
      <c r="D176" s="322"/>
      <c r="E176" s="380"/>
    </row>
    <row r="177" spans="3:5" x14ac:dyDescent="0.3">
      <c r="C177" s="322" t="s">
        <v>275</v>
      </c>
      <c r="D177" s="382" t="s">
        <v>276</v>
      </c>
      <c r="E177" s="382"/>
    </row>
  </sheetData>
  <mergeCells count="5">
    <mergeCell ref="D8:E8"/>
    <mergeCell ref="C4:E4"/>
    <mergeCell ref="C3:E3"/>
    <mergeCell ref="C1:E1"/>
    <mergeCell ref="C2:E2"/>
  </mergeCells>
  <pageMargins left="0.23622047244094491" right="0.15748031496062992" top="0.15748031496062992" bottom="0.15748031496062992" header="0.15748031496062992" footer="0.15748031496062992"/>
  <pageSetup paperSize="9" scale="48" fitToHeight="12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O183"/>
  <sheetViews>
    <sheetView zoomScale="110" zoomScaleNormal="110" workbookViewId="0">
      <pane xSplit="2" ySplit="5" topLeftCell="C126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57.140625" style="9" customWidth="1"/>
    <col min="3" max="3" width="10.7109375" style="12" customWidth="1"/>
    <col min="4" max="4" width="14" style="13" customWidth="1"/>
    <col min="5" max="5" width="9.28515625" style="5" customWidth="1"/>
    <col min="6" max="6" width="10.85546875" style="5" customWidth="1"/>
    <col min="7" max="7" width="8.7109375" style="12" customWidth="1"/>
    <col min="8" max="8" width="12.5703125" style="13" customWidth="1"/>
    <col min="9" max="9" width="9.7109375" style="5" customWidth="1"/>
    <col min="10" max="10" width="12.7109375" style="5" customWidth="1"/>
    <col min="11" max="11" width="8.140625" style="12" customWidth="1"/>
    <col min="12" max="12" width="13" style="13" customWidth="1"/>
    <col min="13" max="13" width="8.5703125" style="5" customWidth="1"/>
    <col min="14" max="14" width="13.28515625" style="5" customWidth="1"/>
    <col min="15" max="16384" width="9.140625" style="5"/>
  </cols>
  <sheetData>
    <row r="1" spans="1:15" ht="14.45" customHeight="1" x14ac:dyDescent="0.2">
      <c r="A1" s="1"/>
      <c r="B1" s="14" t="s">
        <v>55</v>
      </c>
      <c r="C1" s="4"/>
      <c r="D1" s="3"/>
      <c r="G1" s="4"/>
      <c r="H1" s="3"/>
      <c r="K1" s="4"/>
      <c r="L1" s="3"/>
    </row>
    <row r="2" spans="1:15" ht="14.45" customHeight="1" thickBot="1" x14ac:dyDescent="0.25">
      <c r="A2" s="1"/>
      <c r="B2" s="2"/>
      <c r="C2" s="4"/>
      <c r="D2" s="3"/>
      <c r="F2" s="17" t="s">
        <v>236</v>
      </c>
      <c r="G2" s="4"/>
      <c r="H2" s="3"/>
      <c r="J2" s="17" t="s">
        <v>236</v>
      </c>
      <c r="K2" s="4"/>
      <c r="L2" s="3"/>
      <c r="N2" s="17" t="s">
        <v>236</v>
      </c>
    </row>
    <row r="3" spans="1:15" s="6" customFormat="1" ht="19.5" customHeight="1" thickBot="1" x14ac:dyDescent="0.3">
      <c r="A3" s="70"/>
      <c r="B3" s="71"/>
      <c r="C3" s="413" t="s">
        <v>56</v>
      </c>
      <c r="D3" s="415"/>
      <c r="E3" s="421" t="s">
        <v>56</v>
      </c>
      <c r="F3" s="420"/>
      <c r="G3" s="413" t="s">
        <v>248</v>
      </c>
      <c r="H3" s="414"/>
      <c r="I3" s="414"/>
      <c r="J3" s="415"/>
      <c r="K3" s="413" t="s">
        <v>249</v>
      </c>
      <c r="L3" s="414"/>
      <c r="M3" s="414"/>
      <c r="N3" s="415"/>
      <c r="O3" s="6" t="s">
        <v>60</v>
      </c>
    </row>
    <row r="4" spans="1:15" s="6" customFormat="1" ht="33.75" customHeight="1" thickBot="1" x14ac:dyDescent="0.3">
      <c r="A4" s="70"/>
      <c r="B4" s="85"/>
      <c r="C4" s="405" t="s">
        <v>235</v>
      </c>
      <c r="D4" s="406"/>
      <c r="E4" s="411" t="s">
        <v>59</v>
      </c>
      <c r="F4" s="412"/>
      <c r="G4" s="405" t="s">
        <v>235</v>
      </c>
      <c r="H4" s="406"/>
      <c r="I4" s="411" t="s">
        <v>59</v>
      </c>
      <c r="J4" s="412"/>
      <c r="K4" s="405" t="s">
        <v>235</v>
      </c>
      <c r="L4" s="406"/>
      <c r="M4" s="411" t="s">
        <v>59</v>
      </c>
      <c r="N4" s="412"/>
    </row>
    <row r="5" spans="1:15" s="7" customFormat="1" ht="35.25" customHeight="1" thickBot="1" x14ac:dyDescent="0.25">
      <c r="A5" s="257" t="s">
        <v>62</v>
      </c>
      <c r="B5" s="279" t="s">
        <v>63</v>
      </c>
      <c r="C5" s="229" t="s">
        <v>57</v>
      </c>
      <c r="D5" s="229" t="s">
        <v>58</v>
      </c>
      <c r="E5" s="229" t="s">
        <v>57</v>
      </c>
      <c r="F5" s="229" t="s">
        <v>58</v>
      </c>
      <c r="G5" s="280" t="s">
        <v>0</v>
      </c>
      <c r="H5" s="280" t="s">
        <v>1</v>
      </c>
      <c r="I5" s="280" t="s">
        <v>0</v>
      </c>
      <c r="J5" s="280" t="s">
        <v>12</v>
      </c>
      <c r="K5" s="280" t="s">
        <v>0</v>
      </c>
      <c r="L5" s="280" t="s">
        <v>1</v>
      </c>
      <c r="M5" s="280" t="s">
        <v>0</v>
      </c>
      <c r="N5" s="229" t="s">
        <v>12</v>
      </c>
    </row>
    <row r="6" spans="1:15" s="9" customFormat="1" x14ac:dyDescent="0.2">
      <c r="A6" s="175" t="s">
        <v>2</v>
      </c>
      <c r="B6" s="176" t="s">
        <v>3</v>
      </c>
      <c r="C6" s="177"/>
      <c r="D6" s="178"/>
      <c r="E6" s="177"/>
      <c r="F6" s="177"/>
      <c r="G6" s="177"/>
      <c r="H6" s="178"/>
      <c r="I6" s="177"/>
      <c r="J6" s="177"/>
      <c r="K6" s="177"/>
      <c r="L6" s="178"/>
      <c r="M6" s="177"/>
      <c r="N6" s="179"/>
    </row>
    <row r="7" spans="1:15" x14ac:dyDescent="0.2">
      <c r="A7" s="25"/>
      <c r="B7" s="48" t="s">
        <v>18</v>
      </c>
      <c r="C7" s="64">
        <f>G7+K7</f>
        <v>0</v>
      </c>
      <c r="D7" s="64">
        <f>H7+L7</f>
        <v>0</v>
      </c>
      <c r="E7" s="64">
        <f>I7+M7</f>
        <v>0</v>
      </c>
      <c r="F7" s="64">
        <f>J7+N7</f>
        <v>0</v>
      </c>
      <c r="G7" s="54"/>
      <c r="H7" s="119"/>
      <c r="I7" s="54"/>
      <c r="J7" s="54"/>
      <c r="K7" s="54"/>
      <c r="L7" s="119"/>
      <c r="M7" s="54"/>
      <c r="N7" s="180"/>
    </row>
    <row r="8" spans="1:15" x14ac:dyDescent="0.2">
      <c r="A8" s="25"/>
      <c r="B8" s="48" t="s">
        <v>4</v>
      </c>
      <c r="C8" s="64">
        <f t="shared" ref="C8:C9" si="0">G8+K8</f>
        <v>0</v>
      </c>
      <c r="D8" s="64">
        <f t="shared" ref="D8:D9" si="1">H8+L8</f>
        <v>0</v>
      </c>
      <c r="E8" s="64">
        <f t="shared" ref="E8:E9" si="2">I8+M8</f>
        <v>0</v>
      </c>
      <c r="F8" s="64">
        <f t="shared" ref="F8:F9" si="3">J8+N8</f>
        <v>0</v>
      </c>
      <c r="G8" s="54"/>
      <c r="H8" s="119"/>
      <c r="I8" s="54"/>
      <c r="J8" s="54"/>
      <c r="K8" s="54"/>
      <c r="L8" s="119"/>
      <c r="M8" s="54"/>
      <c r="N8" s="180"/>
    </row>
    <row r="9" spans="1:15" x14ac:dyDescent="0.2">
      <c r="A9" s="25"/>
      <c r="B9" s="48" t="s">
        <v>17</v>
      </c>
      <c r="C9" s="64">
        <f t="shared" si="0"/>
        <v>0</v>
      </c>
      <c r="D9" s="64">
        <f t="shared" si="1"/>
        <v>0</v>
      </c>
      <c r="E9" s="64">
        <f t="shared" si="2"/>
        <v>0</v>
      </c>
      <c r="F9" s="64">
        <f t="shared" si="3"/>
        <v>0</v>
      </c>
      <c r="G9" s="54"/>
      <c r="H9" s="119"/>
      <c r="I9" s="54"/>
      <c r="J9" s="54"/>
      <c r="K9" s="54"/>
      <c r="L9" s="119"/>
      <c r="M9" s="54"/>
      <c r="N9" s="180"/>
    </row>
    <row r="10" spans="1:15" s="9" customFormat="1" x14ac:dyDescent="0.2">
      <c r="A10" s="25"/>
      <c r="B10" s="48" t="s">
        <v>15</v>
      </c>
      <c r="C10" s="64">
        <f t="shared" ref="C10:D11" si="4">G10+K10+O10</f>
        <v>1</v>
      </c>
      <c r="D10" s="64">
        <f t="shared" si="4"/>
        <v>260000</v>
      </c>
      <c r="E10" s="64">
        <v>0</v>
      </c>
      <c r="F10" s="64">
        <v>0</v>
      </c>
      <c r="G10" s="58">
        <v>1</v>
      </c>
      <c r="H10" s="119">
        <v>260000</v>
      </c>
      <c r="I10" s="58"/>
      <c r="J10" s="58"/>
      <c r="K10" s="58"/>
      <c r="L10" s="119"/>
      <c r="M10" s="58"/>
      <c r="N10" s="281"/>
    </row>
    <row r="11" spans="1:15" s="9" customFormat="1" ht="13.5" thickBot="1" x14ac:dyDescent="0.25">
      <c r="A11" s="181"/>
      <c r="B11" s="182" t="s">
        <v>16</v>
      </c>
      <c r="C11" s="239">
        <f t="shared" si="4"/>
        <v>1</v>
      </c>
      <c r="D11" s="239">
        <f t="shared" si="4"/>
        <v>200000</v>
      </c>
      <c r="E11" s="239">
        <v>0</v>
      </c>
      <c r="F11" s="239">
        <v>0</v>
      </c>
      <c r="G11" s="185">
        <v>1</v>
      </c>
      <c r="H11" s="184">
        <v>200000</v>
      </c>
      <c r="I11" s="185"/>
      <c r="J11" s="185"/>
      <c r="K11" s="185"/>
      <c r="L11" s="184"/>
      <c r="M11" s="185"/>
      <c r="N11" s="282"/>
    </row>
    <row r="12" spans="1:15" s="9" customFormat="1" ht="13.5" thickBot="1" x14ac:dyDescent="0.25">
      <c r="A12" s="99"/>
      <c r="B12" s="106" t="s">
        <v>155</v>
      </c>
      <c r="C12" s="283">
        <f t="shared" ref="C12:N12" si="5">SUM(C7:C11)</f>
        <v>2</v>
      </c>
      <c r="D12" s="283">
        <f t="shared" si="5"/>
        <v>460000</v>
      </c>
      <c r="E12" s="283">
        <f t="shared" si="5"/>
        <v>0</v>
      </c>
      <c r="F12" s="283">
        <f t="shared" si="5"/>
        <v>0</v>
      </c>
      <c r="G12" s="283">
        <f t="shared" si="5"/>
        <v>2</v>
      </c>
      <c r="H12" s="283">
        <f t="shared" si="5"/>
        <v>460000</v>
      </c>
      <c r="I12" s="283">
        <f t="shared" si="5"/>
        <v>0</v>
      </c>
      <c r="J12" s="283">
        <f t="shared" si="5"/>
        <v>0</v>
      </c>
      <c r="K12" s="283">
        <f t="shared" si="5"/>
        <v>0</v>
      </c>
      <c r="L12" s="283">
        <f t="shared" si="5"/>
        <v>0</v>
      </c>
      <c r="M12" s="283">
        <f t="shared" si="5"/>
        <v>0</v>
      </c>
      <c r="N12" s="283">
        <f t="shared" si="5"/>
        <v>0</v>
      </c>
    </row>
    <row r="13" spans="1:15" s="52" customFormat="1" x14ac:dyDescent="0.2">
      <c r="A13" s="175" t="s">
        <v>5</v>
      </c>
      <c r="B13" s="176" t="s">
        <v>89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7"/>
    </row>
    <row r="14" spans="1:15" s="52" customFormat="1" ht="15" x14ac:dyDescent="0.25">
      <c r="A14" s="25"/>
      <c r="B14" s="209" t="s">
        <v>19</v>
      </c>
      <c r="C14" s="64">
        <f>G14+K14</f>
        <v>21</v>
      </c>
      <c r="D14" s="64">
        <f t="shared" ref="D14:D47" si="6">H14+L14</f>
        <v>63000</v>
      </c>
      <c r="E14" s="64">
        <f t="shared" ref="E14:E47" si="7">I14+M14</f>
        <v>0</v>
      </c>
      <c r="F14" s="64">
        <f t="shared" ref="F14:F47" si="8">J14+N14</f>
        <v>0</v>
      </c>
      <c r="G14" s="47">
        <f>6</f>
        <v>6</v>
      </c>
      <c r="H14" s="119">
        <f>3000*G14</f>
        <v>18000</v>
      </c>
      <c r="I14" s="54"/>
      <c r="J14" s="54"/>
      <c r="K14" s="47">
        <v>15</v>
      </c>
      <c r="L14" s="119">
        <f>3000*K14</f>
        <v>45000</v>
      </c>
      <c r="M14" s="54"/>
      <c r="N14" s="180"/>
    </row>
    <row r="15" spans="1:15" s="52" customFormat="1" ht="15" x14ac:dyDescent="0.25">
      <c r="A15" s="25"/>
      <c r="B15" s="209" t="s">
        <v>20</v>
      </c>
      <c r="C15" s="64">
        <f t="shared" ref="C15:C47" si="9">G15+K15</f>
        <v>1</v>
      </c>
      <c r="D15" s="64">
        <f t="shared" si="6"/>
        <v>11000</v>
      </c>
      <c r="E15" s="64">
        <f t="shared" si="7"/>
        <v>0</v>
      </c>
      <c r="F15" s="64">
        <f t="shared" si="8"/>
        <v>0</v>
      </c>
      <c r="G15" s="47">
        <v>1</v>
      </c>
      <c r="H15" s="119">
        <f>G15*11000</f>
        <v>11000</v>
      </c>
      <c r="I15" s="54"/>
      <c r="J15" s="54"/>
      <c r="K15" s="54"/>
      <c r="L15" s="119"/>
      <c r="M15" s="54"/>
      <c r="N15" s="180"/>
    </row>
    <row r="16" spans="1:15" s="52" customFormat="1" x14ac:dyDescent="0.2">
      <c r="A16" s="25"/>
      <c r="B16" s="318" t="s">
        <v>21</v>
      </c>
      <c r="C16" s="64">
        <f t="shared" si="9"/>
        <v>10</v>
      </c>
      <c r="D16" s="64">
        <f t="shared" si="6"/>
        <v>45000</v>
      </c>
      <c r="E16" s="64">
        <f t="shared" si="7"/>
        <v>0</v>
      </c>
      <c r="F16" s="64">
        <f t="shared" si="8"/>
        <v>0</v>
      </c>
      <c r="G16" s="54">
        <v>5</v>
      </c>
      <c r="H16" s="119">
        <f>4500*G16</f>
        <v>22500</v>
      </c>
      <c r="I16" s="54"/>
      <c r="J16" s="54"/>
      <c r="K16" s="54">
        <v>5</v>
      </c>
      <c r="L16" s="119">
        <f>4500*K16</f>
        <v>22500</v>
      </c>
      <c r="M16" s="54"/>
      <c r="N16" s="180"/>
    </row>
    <row r="17" spans="1:14" s="52" customFormat="1" x14ac:dyDescent="0.2">
      <c r="A17" s="25"/>
      <c r="B17" s="318" t="s">
        <v>23</v>
      </c>
      <c r="C17" s="64">
        <f>G17+K17</f>
        <v>5</v>
      </c>
      <c r="D17" s="64">
        <f>H17+L17</f>
        <v>22500</v>
      </c>
      <c r="E17" s="64">
        <f t="shared" si="7"/>
        <v>0</v>
      </c>
      <c r="F17" s="64">
        <f t="shared" si="8"/>
        <v>0</v>
      </c>
      <c r="G17" s="54">
        <v>5</v>
      </c>
      <c r="H17" s="119">
        <f>4500*G17</f>
        <v>22500</v>
      </c>
      <c r="I17" s="54"/>
      <c r="J17" s="54"/>
      <c r="K17" s="54"/>
      <c r="L17" s="119"/>
      <c r="M17" s="54"/>
      <c r="N17" s="180"/>
    </row>
    <row r="18" spans="1:14" s="38" customFormat="1" ht="15" x14ac:dyDescent="0.25">
      <c r="A18" s="25"/>
      <c r="B18" s="318" t="s">
        <v>24</v>
      </c>
      <c r="C18" s="64">
        <f>G18+K18</f>
        <v>1</v>
      </c>
      <c r="D18" s="64">
        <f>H18+L18</f>
        <v>9000</v>
      </c>
      <c r="E18" s="64">
        <f t="shared" si="7"/>
        <v>0</v>
      </c>
      <c r="F18" s="64">
        <f t="shared" si="8"/>
        <v>0</v>
      </c>
      <c r="G18" s="47">
        <v>1</v>
      </c>
      <c r="H18" s="119">
        <f>9000*G18</f>
        <v>9000</v>
      </c>
      <c r="I18" s="54"/>
      <c r="J18" s="54"/>
      <c r="K18" s="54"/>
      <c r="L18" s="119"/>
      <c r="M18" s="54"/>
      <c r="N18" s="180"/>
    </row>
    <row r="19" spans="1:14" s="38" customFormat="1" ht="15" x14ac:dyDescent="0.25">
      <c r="A19" s="25"/>
      <c r="B19" s="48" t="s">
        <v>25</v>
      </c>
      <c r="C19" s="64">
        <f t="shared" si="9"/>
        <v>0</v>
      </c>
      <c r="D19" s="64">
        <f t="shared" si="6"/>
        <v>0</v>
      </c>
      <c r="E19" s="64">
        <f t="shared" si="7"/>
        <v>0</v>
      </c>
      <c r="F19" s="64">
        <f t="shared" si="8"/>
        <v>0</v>
      </c>
      <c r="G19" s="47"/>
      <c r="H19" s="119">
        <f>500*G19</f>
        <v>0</v>
      </c>
      <c r="I19" s="54"/>
      <c r="J19" s="54"/>
      <c r="K19" s="47"/>
      <c r="L19" s="119"/>
      <c r="M19" s="54"/>
      <c r="N19" s="180"/>
    </row>
    <row r="20" spans="1:14" s="38" customFormat="1" x14ac:dyDescent="0.2">
      <c r="A20" s="25"/>
      <c r="B20" s="209" t="s">
        <v>26</v>
      </c>
      <c r="C20" s="64">
        <f t="shared" si="9"/>
        <v>0</v>
      </c>
      <c r="D20" s="64">
        <f t="shared" si="6"/>
        <v>0</v>
      </c>
      <c r="E20" s="64">
        <f t="shared" si="7"/>
        <v>0</v>
      </c>
      <c r="F20" s="64">
        <f t="shared" si="8"/>
        <v>0</v>
      </c>
      <c r="G20" s="54"/>
      <c r="H20" s="119"/>
      <c r="I20" s="54"/>
      <c r="J20" s="54"/>
      <c r="K20" s="54"/>
      <c r="L20" s="119"/>
      <c r="M20" s="54"/>
      <c r="N20" s="180"/>
    </row>
    <row r="21" spans="1:14" s="38" customFormat="1" x14ac:dyDescent="0.2">
      <c r="A21" s="25"/>
      <c r="B21" s="209" t="s">
        <v>27</v>
      </c>
      <c r="C21" s="64">
        <f t="shared" si="9"/>
        <v>0</v>
      </c>
      <c r="D21" s="64">
        <f t="shared" si="6"/>
        <v>0</v>
      </c>
      <c r="E21" s="64">
        <f t="shared" si="7"/>
        <v>0</v>
      </c>
      <c r="F21" s="64">
        <f t="shared" si="8"/>
        <v>0</v>
      </c>
      <c r="G21" s="54"/>
      <c r="H21" s="119"/>
      <c r="I21" s="54"/>
      <c r="J21" s="54"/>
      <c r="K21" s="54"/>
      <c r="L21" s="119"/>
      <c r="M21" s="54"/>
      <c r="N21" s="180"/>
    </row>
    <row r="22" spans="1:14" s="38" customFormat="1" x14ac:dyDescent="0.2">
      <c r="A22" s="25"/>
      <c r="B22" s="48" t="s">
        <v>28</v>
      </c>
      <c r="C22" s="64">
        <f t="shared" si="9"/>
        <v>0</v>
      </c>
      <c r="D22" s="64">
        <f t="shared" si="6"/>
        <v>0</v>
      </c>
      <c r="E22" s="64">
        <f t="shared" si="7"/>
        <v>0</v>
      </c>
      <c r="F22" s="64">
        <f t="shared" si="8"/>
        <v>0</v>
      </c>
      <c r="G22" s="54"/>
      <c r="H22" s="119"/>
      <c r="I22" s="54"/>
      <c r="J22" s="54"/>
      <c r="K22" s="54"/>
      <c r="L22" s="119"/>
      <c r="M22" s="54"/>
      <c r="N22" s="180"/>
    </row>
    <row r="23" spans="1:14" s="38" customFormat="1" x14ac:dyDescent="0.2">
      <c r="A23" s="25"/>
      <c r="B23" s="48" t="s">
        <v>29</v>
      </c>
      <c r="C23" s="64">
        <f t="shared" si="9"/>
        <v>0</v>
      </c>
      <c r="D23" s="64">
        <f t="shared" si="6"/>
        <v>0</v>
      </c>
      <c r="E23" s="64">
        <f t="shared" si="7"/>
        <v>0</v>
      </c>
      <c r="F23" s="64">
        <f t="shared" si="8"/>
        <v>0</v>
      </c>
      <c r="G23" s="54"/>
      <c r="H23" s="119"/>
      <c r="I23" s="54"/>
      <c r="J23" s="54"/>
      <c r="K23" s="54"/>
      <c r="L23" s="119"/>
      <c r="M23" s="54"/>
      <c r="N23" s="180"/>
    </row>
    <row r="24" spans="1:14" s="38" customFormat="1" x14ac:dyDescent="0.2">
      <c r="A24" s="25"/>
      <c r="B24" s="48" t="s">
        <v>30</v>
      </c>
      <c r="C24" s="64">
        <f t="shared" si="9"/>
        <v>10</v>
      </c>
      <c r="D24" s="64">
        <f t="shared" si="6"/>
        <v>30000</v>
      </c>
      <c r="E24" s="64">
        <f t="shared" si="7"/>
        <v>0</v>
      </c>
      <c r="F24" s="64">
        <f t="shared" si="8"/>
        <v>0</v>
      </c>
      <c r="G24" s="54">
        <v>5</v>
      </c>
      <c r="H24" s="119">
        <f>G24*3000</f>
        <v>15000</v>
      </c>
      <c r="I24" s="54"/>
      <c r="J24" s="54"/>
      <c r="K24" s="54">
        <v>5</v>
      </c>
      <c r="L24" s="119">
        <f>K24*3000</f>
        <v>15000</v>
      </c>
      <c r="M24" s="54"/>
      <c r="N24" s="180"/>
    </row>
    <row r="25" spans="1:14" s="38" customFormat="1" ht="15" x14ac:dyDescent="0.25">
      <c r="A25" s="25"/>
      <c r="B25" s="48" t="s">
        <v>31</v>
      </c>
      <c r="C25" s="64">
        <f t="shared" si="9"/>
        <v>0</v>
      </c>
      <c r="D25" s="64">
        <f t="shared" si="6"/>
        <v>0</v>
      </c>
      <c r="E25" s="64">
        <f t="shared" si="7"/>
        <v>0</v>
      </c>
      <c r="F25" s="64">
        <f t="shared" si="8"/>
        <v>0</v>
      </c>
      <c r="G25" s="47"/>
      <c r="H25" s="119"/>
      <c r="I25" s="54"/>
      <c r="J25" s="54"/>
      <c r="K25" s="54"/>
      <c r="L25" s="119"/>
      <c r="M25" s="54"/>
      <c r="N25" s="180"/>
    </row>
    <row r="26" spans="1:14" s="38" customFormat="1" x14ac:dyDescent="0.2">
      <c r="A26" s="25"/>
      <c r="B26" s="209" t="s">
        <v>32</v>
      </c>
      <c r="C26" s="64">
        <f t="shared" si="9"/>
        <v>60</v>
      </c>
      <c r="D26" s="64">
        <f t="shared" si="6"/>
        <v>150000</v>
      </c>
      <c r="E26" s="64">
        <f t="shared" si="7"/>
        <v>0</v>
      </c>
      <c r="F26" s="64">
        <f t="shared" si="8"/>
        <v>0</v>
      </c>
      <c r="G26" s="54">
        <v>30</v>
      </c>
      <c r="H26" s="119">
        <f>G26*2500</f>
        <v>75000</v>
      </c>
      <c r="I26" s="54"/>
      <c r="J26" s="54"/>
      <c r="K26" s="54">
        <v>30</v>
      </c>
      <c r="L26" s="119">
        <f>K26*2500</f>
        <v>75000</v>
      </c>
      <c r="M26" s="54"/>
      <c r="N26" s="180"/>
    </row>
    <row r="27" spans="1:14" s="38" customFormat="1" ht="15" x14ac:dyDescent="0.25">
      <c r="A27" s="25"/>
      <c r="B27" s="209" t="s">
        <v>33</v>
      </c>
      <c r="C27" s="64">
        <f t="shared" si="9"/>
        <v>0</v>
      </c>
      <c r="D27" s="64">
        <f t="shared" si="6"/>
        <v>0</v>
      </c>
      <c r="E27" s="64">
        <f t="shared" si="7"/>
        <v>0</v>
      </c>
      <c r="F27" s="64">
        <f t="shared" si="8"/>
        <v>0</v>
      </c>
      <c r="G27" s="47"/>
      <c r="H27" s="119"/>
      <c r="I27" s="54"/>
      <c r="J27" s="54"/>
      <c r="K27" s="47"/>
      <c r="L27" s="119"/>
      <c r="M27" s="54"/>
      <c r="N27" s="180"/>
    </row>
    <row r="28" spans="1:14" s="38" customFormat="1" ht="15" x14ac:dyDescent="0.25">
      <c r="A28" s="25"/>
      <c r="B28" s="209" t="s">
        <v>35</v>
      </c>
      <c r="C28" s="64">
        <f t="shared" si="9"/>
        <v>60</v>
      </c>
      <c r="D28" s="64">
        <f t="shared" si="6"/>
        <v>120000</v>
      </c>
      <c r="E28" s="64">
        <f t="shared" si="7"/>
        <v>0</v>
      </c>
      <c r="F28" s="64">
        <f t="shared" si="8"/>
        <v>0</v>
      </c>
      <c r="G28" s="47">
        <v>30</v>
      </c>
      <c r="H28" s="119">
        <f>G28*2000</f>
        <v>60000</v>
      </c>
      <c r="I28" s="54"/>
      <c r="J28" s="54"/>
      <c r="K28" s="54">
        <v>30</v>
      </c>
      <c r="L28" s="119">
        <f>K28*2000</f>
        <v>60000</v>
      </c>
      <c r="M28" s="54"/>
      <c r="N28" s="180"/>
    </row>
    <row r="29" spans="1:14" s="38" customFormat="1" ht="15" x14ac:dyDescent="0.25">
      <c r="A29" s="25"/>
      <c r="B29" s="209" t="s">
        <v>36</v>
      </c>
      <c r="C29" s="64">
        <f t="shared" si="9"/>
        <v>2</v>
      </c>
      <c r="D29" s="64">
        <f t="shared" si="6"/>
        <v>10000</v>
      </c>
      <c r="E29" s="64">
        <f t="shared" si="7"/>
        <v>0</v>
      </c>
      <c r="F29" s="64">
        <f t="shared" si="8"/>
        <v>0</v>
      </c>
      <c r="G29" s="47">
        <v>2</v>
      </c>
      <c r="H29" s="119">
        <f>5000*G29</f>
        <v>10000</v>
      </c>
      <c r="I29" s="54"/>
      <c r="J29" s="54"/>
      <c r="K29" s="54"/>
      <c r="L29" s="119"/>
      <c r="M29" s="54"/>
      <c r="N29" s="180"/>
    </row>
    <row r="30" spans="1:14" s="38" customFormat="1" ht="15" x14ac:dyDescent="0.25">
      <c r="A30" s="25"/>
      <c r="B30" s="209" t="s">
        <v>37</v>
      </c>
      <c r="C30" s="64">
        <f t="shared" si="9"/>
        <v>14</v>
      </c>
      <c r="D30" s="64">
        <f t="shared" si="6"/>
        <v>42000</v>
      </c>
      <c r="E30" s="64">
        <f t="shared" si="7"/>
        <v>0</v>
      </c>
      <c r="F30" s="64">
        <f t="shared" si="8"/>
        <v>0</v>
      </c>
      <c r="G30" s="47">
        <v>4</v>
      </c>
      <c r="H30" s="119">
        <f>G30*3000</f>
        <v>12000</v>
      </c>
      <c r="I30" s="54"/>
      <c r="J30" s="54"/>
      <c r="K30" s="47">
        <v>10</v>
      </c>
      <c r="L30" s="119">
        <f>K30*3000</f>
        <v>30000</v>
      </c>
      <c r="M30" s="54"/>
      <c r="N30" s="180"/>
    </row>
    <row r="31" spans="1:14" s="38" customFormat="1" x14ac:dyDescent="0.2">
      <c r="A31" s="25"/>
      <c r="B31" s="48" t="s">
        <v>38</v>
      </c>
      <c r="C31" s="64">
        <f t="shared" si="9"/>
        <v>7</v>
      </c>
      <c r="D31" s="64">
        <f t="shared" si="6"/>
        <v>17500</v>
      </c>
      <c r="E31" s="64">
        <f t="shared" si="7"/>
        <v>0</v>
      </c>
      <c r="F31" s="64">
        <f t="shared" si="8"/>
        <v>0</v>
      </c>
      <c r="G31" s="54">
        <v>4</v>
      </c>
      <c r="H31" s="119">
        <f>G31*2500</f>
        <v>10000</v>
      </c>
      <c r="I31" s="54"/>
      <c r="J31" s="54"/>
      <c r="K31" s="54">
        <f>2+1</f>
        <v>3</v>
      </c>
      <c r="L31" s="119">
        <f>K31*2500</f>
        <v>7500</v>
      </c>
      <c r="M31" s="54"/>
      <c r="N31" s="180"/>
    </row>
    <row r="32" spans="1:14" s="38" customFormat="1" x14ac:dyDescent="0.2">
      <c r="A32" s="25"/>
      <c r="B32" s="209" t="s">
        <v>39</v>
      </c>
      <c r="C32" s="64">
        <f t="shared" si="9"/>
        <v>0</v>
      </c>
      <c r="D32" s="64">
        <f t="shared" si="6"/>
        <v>0</v>
      </c>
      <c r="E32" s="64">
        <f t="shared" si="7"/>
        <v>0</v>
      </c>
      <c r="F32" s="64">
        <f t="shared" si="8"/>
        <v>0</v>
      </c>
      <c r="G32" s="54"/>
      <c r="H32" s="119">
        <f>G32*2000</f>
        <v>0</v>
      </c>
      <c r="I32" s="54"/>
      <c r="J32" s="54"/>
      <c r="K32" s="54"/>
      <c r="L32" s="119">
        <f>K32*2000</f>
        <v>0</v>
      </c>
      <c r="M32" s="54"/>
      <c r="N32" s="180"/>
    </row>
    <row r="33" spans="1:14" s="38" customFormat="1" ht="15" x14ac:dyDescent="0.25">
      <c r="A33" s="25"/>
      <c r="B33" s="209" t="s">
        <v>40</v>
      </c>
      <c r="C33" s="64">
        <f t="shared" si="9"/>
        <v>8</v>
      </c>
      <c r="D33" s="64">
        <f t="shared" si="6"/>
        <v>24000</v>
      </c>
      <c r="E33" s="64">
        <f t="shared" si="7"/>
        <v>0</v>
      </c>
      <c r="F33" s="64">
        <f t="shared" si="8"/>
        <v>0</v>
      </c>
      <c r="G33" s="47">
        <f>8</f>
        <v>8</v>
      </c>
      <c r="H33" s="119">
        <f>G33*3000</f>
        <v>24000</v>
      </c>
      <c r="I33" s="54"/>
      <c r="J33" s="54"/>
      <c r="K33" s="54"/>
      <c r="L33" s="119">
        <f>K33*3000</f>
        <v>0</v>
      </c>
      <c r="M33" s="54"/>
      <c r="N33" s="180"/>
    </row>
    <row r="34" spans="1:14" s="38" customFormat="1" x14ac:dyDescent="0.2">
      <c r="A34" s="25"/>
      <c r="B34" s="209" t="s">
        <v>41</v>
      </c>
      <c r="C34" s="64">
        <f t="shared" si="9"/>
        <v>0</v>
      </c>
      <c r="D34" s="64">
        <f t="shared" si="6"/>
        <v>0</v>
      </c>
      <c r="E34" s="64">
        <f t="shared" si="7"/>
        <v>0</v>
      </c>
      <c r="F34" s="64">
        <f t="shared" si="8"/>
        <v>0</v>
      </c>
      <c r="G34" s="54"/>
      <c r="H34" s="119">
        <f>G34*2500</f>
        <v>0</v>
      </c>
      <c r="I34" s="54"/>
      <c r="J34" s="54"/>
      <c r="K34" s="54"/>
      <c r="L34" s="119">
        <f>K34*2500</f>
        <v>0</v>
      </c>
      <c r="M34" s="54"/>
      <c r="N34" s="180"/>
    </row>
    <row r="35" spans="1:14" s="38" customFormat="1" x14ac:dyDescent="0.2">
      <c r="A35" s="25"/>
      <c r="B35" s="209" t="s">
        <v>42</v>
      </c>
      <c r="C35" s="64">
        <f t="shared" si="9"/>
        <v>0</v>
      </c>
      <c r="D35" s="64">
        <f t="shared" si="6"/>
        <v>0</v>
      </c>
      <c r="E35" s="64">
        <f t="shared" si="7"/>
        <v>0</v>
      </c>
      <c r="F35" s="64">
        <f t="shared" si="8"/>
        <v>0</v>
      </c>
      <c r="G35" s="54"/>
      <c r="H35" s="119">
        <f>G35*2000</f>
        <v>0</v>
      </c>
      <c r="I35" s="54"/>
      <c r="J35" s="54"/>
      <c r="K35" s="54"/>
      <c r="L35" s="119">
        <f>K35*2000</f>
        <v>0</v>
      </c>
      <c r="M35" s="54"/>
      <c r="N35" s="180"/>
    </row>
    <row r="36" spans="1:14" s="38" customFormat="1" x14ac:dyDescent="0.2">
      <c r="A36" s="25"/>
      <c r="B36" s="48" t="s">
        <v>43</v>
      </c>
      <c r="C36" s="64">
        <f t="shared" si="9"/>
        <v>3</v>
      </c>
      <c r="D36" s="64">
        <f t="shared" si="6"/>
        <v>3600</v>
      </c>
      <c r="E36" s="64">
        <f t="shared" si="7"/>
        <v>0</v>
      </c>
      <c r="F36" s="64">
        <f t="shared" si="8"/>
        <v>0</v>
      </c>
      <c r="G36" s="54">
        <v>3</v>
      </c>
      <c r="H36" s="119">
        <f>G36*1200</f>
        <v>3600</v>
      </c>
      <c r="I36" s="54"/>
      <c r="J36" s="54"/>
      <c r="K36" s="54"/>
      <c r="L36" s="119">
        <f>K36*1200</f>
        <v>0</v>
      </c>
      <c r="M36" s="54"/>
      <c r="N36" s="180"/>
    </row>
    <row r="37" spans="1:14" s="38" customFormat="1" ht="15" x14ac:dyDescent="0.25">
      <c r="A37" s="25"/>
      <c r="B37" s="48" t="s">
        <v>44</v>
      </c>
      <c r="C37" s="64">
        <f t="shared" si="9"/>
        <v>3</v>
      </c>
      <c r="D37" s="64">
        <f t="shared" si="6"/>
        <v>6000</v>
      </c>
      <c r="E37" s="64">
        <f t="shared" si="7"/>
        <v>0</v>
      </c>
      <c r="F37" s="64">
        <f t="shared" si="8"/>
        <v>0</v>
      </c>
      <c r="G37" s="54">
        <f>1</f>
        <v>1</v>
      </c>
      <c r="H37" s="119">
        <f>G37*2000</f>
        <v>2000</v>
      </c>
      <c r="I37" s="54"/>
      <c r="J37" s="54"/>
      <c r="K37" s="47">
        <f>2</f>
        <v>2</v>
      </c>
      <c r="L37" s="119">
        <f>K37*2000</f>
        <v>4000</v>
      </c>
      <c r="M37" s="54"/>
      <c r="N37" s="180"/>
    </row>
    <row r="38" spans="1:14" s="38" customFormat="1" x14ac:dyDescent="0.2">
      <c r="A38" s="25"/>
      <c r="B38" s="48" t="s">
        <v>45</v>
      </c>
      <c r="C38" s="64">
        <f t="shared" si="9"/>
        <v>1</v>
      </c>
      <c r="D38" s="64">
        <f t="shared" si="6"/>
        <v>7500</v>
      </c>
      <c r="E38" s="64">
        <f t="shared" si="7"/>
        <v>0</v>
      </c>
      <c r="F38" s="64">
        <f t="shared" si="8"/>
        <v>0</v>
      </c>
      <c r="G38" s="54">
        <f>1</f>
        <v>1</v>
      </c>
      <c r="H38" s="119">
        <f>G38*7500</f>
        <v>7500</v>
      </c>
      <c r="I38" s="54"/>
      <c r="J38" s="54"/>
      <c r="K38" s="54"/>
      <c r="L38" s="119"/>
      <c r="M38" s="54"/>
      <c r="N38" s="180"/>
    </row>
    <row r="39" spans="1:14" s="38" customFormat="1" ht="15" x14ac:dyDescent="0.25">
      <c r="A39" s="25"/>
      <c r="B39" s="48" t="s">
        <v>46</v>
      </c>
      <c r="C39" s="64">
        <f t="shared" si="9"/>
        <v>1</v>
      </c>
      <c r="D39" s="64">
        <f t="shared" si="6"/>
        <v>9000</v>
      </c>
      <c r="E39" s="64">
        <f t="shared" si="7"/>
        <v>0</v>
      </c>
      <c r="F39" s="64">
        <f t="shared" si="8"/>
        <v>0</v>
      </c>
      <c r="G39" s="47">
        <f>1</f>
        <v>1</v>
      </c>
      <c r="H39" s="119">
        <f>G39*9000</f>
        <v>9000</v>
      </c>
      <c r="I39" s="54"/>
      <c r="J39" s="54"/>
      <c r="K39" s="54"/>
      <c r="L39" s="119"/>
      <c r="M39" s="54"/>
      <c r="N39" s="180"/>
    </row>
    <row r="40" spans="1:14" s="38" customFormat="1" x14ac:dyDescent="0.2">
      <c r="A40" s="25"/>
      <c r="B40" s="209" t="s">
        <v>47</v>
      </c>
      <c r="C40" s="64">
        <f t="shared" si="9"/>
        <v>0</v>
      </c>
      <c r="D40" s="64">
        <f t="shared" si="6"/>
        <v>0</v>
      </c>
      <c r="E40" s="64">
        <f t="shared" si="7"/>
        <v>0</v>
      </c>
      <c r="F40" s="64">
        <f t="shared" si="8"/>
        <v>0</v>
      </c>
      <c r="G40" s="54"/>
      <c r="H40" s="119"/>
      <c r="I40" s="54"/>
      <c r="J40" s="54"/>
      <c r="K40" s="54"/>
      <c r="L40" s="119"/>
      <c r="M40" s="54"/>
      <c r="N40" s="180"/>
    </row>
    <row r="41" spans="1:14" s="38" customFormat="1" x14ac:dyDescent="0.2">
      <c r="A41" s="25"/>
      <c r="B41" s="209" t="s">
        <v>48</v>
      </c>
      <c r="C41" s="64">
        <f t="shared" si="9"/>
        <v>0</v>
      </c>
      <c r="D41" s="64">
        <f t="shared" si="6"/>
        <v>0</v>
      </c>
      <c r="E41" s="64">
        <f t="shared" si="7"/>
        <v>0</v>
      </c>
      <c r="F41" s="64">
        <f t="shared" si="8"/>
        <v>0</v>
      </c>
      <c r="G41" s="54"/>
      <c r="H41" s="119"/>
      <c r="I41" s="54"/>
      <c r="J41" s="54"/>
      <c r="K41" s="54"/>
      <c r="L41" s="119"/>
      <c r="M41" s="54"/>
      <c r="N41" s="180"/>
    </row>
    <row r="42" spans="1:14" s="38" customFormat="1" ht="15" x14ac:dyDescent="0.25">
      <c r="A42" s="25"/>
      <c r="B42" s="48" t="s">
        <v>49</v>
      </c>
      <c r="C42" s="64">
        <f t="shared" si="9"/>
        <v>0</v>
      </c>
      <c r="D42" s="64">
        <f t="shared" si="6"/>
        <v>0</v>
      </c>
      <c r="E42" s="64">
        <f t="shared" si="7"/>
        <v>0</v>
      </c>
      <c r="F42" s="64">
        <f t="shared" si="8"/>
        <v>0</v>
      </c>
      <c r="G42" s="47"/>
      <c r="H42" s="119"/>
      <c r="I42" s="54"/>
      <c r="J42" s="54"/>
      <c r="K42" s="54"/>
      <c r="L42" s="119"/>
      <c r="M42" s="54"/>
      <c r="N42" s="180"/>
    </row>
    <row r="43" spans="1:14" s="38" customFormat="1" x14ac:dyDescent="0.2">
      <c r="A43" s="25"/>
      <c r="B43" s="48" t="s">
        <v>50</v>
      </c>
      <c r="C43" s="64">
        <f t="shared" si="9"/>
        <v>4</v>
      </c>
      <c r="D43" s="64">
        <f t="shared" si="6"/>
        <v>12000</v>
      </c>
      <c r="E43" s="64">
        <f t="shared" si="7"/>
        <v>0</v>
      </c>
      <c r="F43" s="64">
        <f t="shared" si="8"/>
        <v>0</v>
      </c>
      <c r="G43" s="54">
        <f>4</f>
        <v>4</v>
      </c>
      <c r="H43" s="119">
        <f>G43*3000</f>
        <v>12000</v>
      </c>
      <c r="I43" s="54"/>
      <c r="J43" s="54"/>
      <c r="K43" s="54"/>
      <c r="L43" s="119">
        <f>K43*3000</f>
        <v>0</v>
      </c>
      <c r="M43" s="54"/>
      <c r="N43" s="180"/>
    </row>
    <row r="44" spans="1:14" s="38" customFormat="1" ht="15" x14ac:dyDescent="0.25">
      <c r="A44" s="25"/>
      <c r="B44" s="48" t="s">
        <v>51</v>
      </c>
      <c r="C44" s="64">
        <f t="shared" si="9"/>
        <v>0</v>
      </c>
      <c r="D44" s="64">
        <f t="shared" si="6"/>
        <v>0</v>
      </c>
      <c r="E44" s="64">
        <f t="shared" si="7"/>
        <v>0</v>
      </c>
      <c r="F44" s="64">
        <f t="shared" si="8"/>
        <v>0</v>
      </c>
      <c r="G44" s="47"/>
      <c r="H44" s="119">
        <f>G44*4000</f>
        <v>0</v>
      </c>
      <c r="I44" s="54"/>
      <c r="J44" s="54"/>
      <c r="K44" s="54"/>
      <c r="L44" s="119">
        <f>K44*4000</f>
        <v>0</v>
      </c>
      <c r="M44" s="54"/>
      <c r="N44" s="180"/>
    </row>
    <row r="45" spans="1:14" s="38" customFormat="1" ht="15" x14ac:dyDescent="0.25">
      <c r="A45" s="25"/>
      <c r="B45" s="48" t="s">
        <v>52</v>
      </c>
      <c r="C45" s="64">
        <f t="shared" si="9"/>
        <v>13</v>
      </c>
      <c r="D45" s="64">
        <f t="shared" si="6"/>
        <v>39000</v>
      </c>
      <c r="E45" s="64">
        <f t="shared" si="7"/>
        <v>0</v>
      </c>
      <c r="F45" s="64">
        <f t="shared" si="8"/>
        <v>0</v>
      </c>
      <c r="G45" s="47">
        <f>5</f>
        <v>5</v>
      </c>
      <c r="H45" s="119">
        <f>G45*3000</f>
        <v>15000</v>
      </c>
      <c r="I45" s="54"/>
      <c r="J45" s="54"/>
      <c r="K45" s="47">
        <f>7+1</f>
        <v>8</v>
      </c>
      <c r="L45" s="119">
        <f>K45*3000</f>
        <v>24000</v>
      </c>
      <c r="M45" s="54"/>
      <c r="N45" s="180"/>
    </row>
    <row r="46" spans="1:14" s="38" customFormat="1" x14ac:dyDescent="0.2">
      <c r="A46" s="25"/>
      <c r="B46" s="209" t="s">
        <v>53</v>
      </c>
      <c r="C46" s="64">
        <f t="shared" si="9"/>
        <v>12</v>
      </c>
      <c r="D46" s="64">
        <f t="shared" si="6"/>
        <v>36000</v>
      </c>
      <c r="E46" s="64">
        <f t="shared" si="7"/>
        <v>0</v>
      </c>
      <c r="F46" s="64">
        <f t="shared" si="8"/>
        <v>0</v>
      </c>
      <c r="G46" s="54">
        <v>12</v>
      </c>
      <c r="H46" s="119">
        <f>G46*3000</f>
        <v>36000</v>
      </c>
      <c r="I46" s="54"/>
      <c r="J46" s="54"/>
      <c r="K46" s="54"/>
      <c r="L46" s="119">
        <f>K46*3000</f>
        <v>0</v>
      </c>
      <c r="M46" s="54"/>
      <c r="N46" s="180"/>
    </row>
    <row r="47" spans="1:14" s="38" customFormat="1" ht="15.75" thickBot="1" x14ac:dyDescent="0.3">
      <c r="A47" s="187"/>
      <c r="B47" s="188" t="s">
        <v>54</v>
      </c>
      <c r="C47" s="241">
        <f t="shared" si="9"/>
        <v>16</v>
      </c>
      <c r="D47" s="241">
        <f t="shared" si="6"/>
        <v>72000</v>
      </c>
      <c r="E47" s="241">
        <f t="shared" si="7"/>
        <v>0</v>
      </c>
      <c r="F47" s="241">
        <f t="shared" si="8"/>
        <v>0</v>
      </c>
      <c r="G47" s="120">
        <f>10</f>
        <v>10</v>
      </c>
      <c r="H47" s="189">
        <f>G47*4500</f>
        <v>45000</v>
      </c>
      <c r="I47" s="202"/>
      <c r="J47" s="202"/>
      <c r="K47" s="120">
        <f>5+1</f>
        <v>6</v>
      </c>
      <c r="L47" s="189">
        <f>K47*4500</f>
        <v>27000</v>
      </c>
      <c r="M47" s="202"/>
      <c r="N47" s="191"/>
    </row>
    <row r="48" spans="1:14" ht="13.5" thickBot="1" x14ac:dyDescent="0.25">
      <c r="A48" s="171"/>
      <c r="B48" s="172" t="s">
        <v>154</v>
      </c>
      <c r="C48" s="173">
        <f>SUM(C14:C47)</f>
        <v>252</v>
      </c>
      <c r="D48" s="173">
        <f t="shared" ref="D48:N48" si="10">SUM(D14:D47)</f>
        <v>729100</v>
      </c>
      <c r="E48" s="173">
        <f t="shared" si="10"/>
        <v>0</v>
      </c>
      <c r="F48" s="173">
        <f t="shared" si="10"/>
        <v>0</v>
      </c>
      <c r="G48" s="173">
        <f t="shared" si="10"/>
        <v>138</v>
      </c>
      <c r="H48" s="173">
        <f t="shared" si="10"/>
        <v>419100</v>
      </c>
      <c r="I48" s="173">
        <f t="shared" si="10"/>
        <v>0</v>
      </c>
      <c r="J48" s="173">
        <f t="shared" si="10"/>
        <v>0</v>
      </c>
      <c r="K48" s="173">
        <f t="shared" si="10"/>
        <v>114</v>
      </c>
      <c r="L48" s="173">
        <f t="shared" si="10"/>
        <v>310000</v>
      </c>
      <c r="M48" s="173">
        <f t="shared" si="10"/>
        <v>0</v>
      </c>
      <c r="N48" s="173">
        <f t="shared" si="10"/>
        <v>0</v>
      </c>
    </row>
    <row r="49" spans="1:14" s="38" customFormat="1" x14ac:dyDescent="0.2">
      <c r="A49" s="175" t="s">
        <v>6</v>
      </c>
      <c r="B49" s="194" t="s">
        <v>61</v>
      </c>
      <c r="C49" s="213"/>
      <c r="D49" s="213"/>
      <c r="E49" s="213"/>
      <c r="F49" s="213"/>
      <c r="G49" s="177"/>
      <c r="H49" s="178"/>
      <c r="I49" s="177"/>
      <c r="J49" s="177"/>
      <c r="K49" s="177"/>
      <c r="L49" s="178"/>
      <c r="M49" s="177"/>
      <c r="N49" s="179"/>
    </row>
    <row r="50" spans="1:14" s="38" customFormat="1" ht="15" x14ac:dyDescent="0.25">
      <c r="A50" s="25"/>
      <c r="B50" s="48" t="s">
        <v>64</v>
      </c>
      <c r="C50" s="64">
        <f t="shared" ref="C50:C56" si="11">G50+K50</f>
        <v>8</v>
      </c>
      <c r="D50" s="64">
        <f t="shared" ref="D50:D56" si="12">H50+L50</f>
        <v>64000</v>
      </c>
      <c r="E50" s="64">
        <f t="shared" ref="E50:E56" si="13">I50+M50</f>
        <v>0</v>
      </c>
      <c r="F50" s="64">
        <f t="shared" ref="F50:F56" si="14">J50+N50</f>
        <v>0</v>
      </c>
      <c r="G50" s="47">
        <v>4</v>
      </c>
      <c r="H50" s="119">
        <f>G50*8000</f>
        <v>32000</v>
      </c>
      <c r="I50" s="54"/>
      <c r="J50" s="54"/>
      <c r="K50" s="47">
        <v>4</v>
      </c>
      <c r="L50" s="119">
        <f>K50*8000</f>
        <v>32000</v>
      </c>
      <c r="M50" s="54"/>
      <c r="N50" s="180"/>
    </row>
    <row r="51" spans="1:14" s="38" customFormat="1" ht="15" x14ac:dyDescent="0.25">
      <c r="A51" s="25"/>
      <c r="B51" s="48" t="s">
        <v>65</v>
      </c>
      <c r="C51" s="64">
        <f t="shared" si="11"/>
        <v>3</v>
      </c>
      <c r="D51" s="64">
        <f t="shared" si="12"/>
        <v>54000</v>
      </c>
      <c r="E51" s="64">
        <f t="shared" si="13"/>
        <v>0</v>
      </c>
      <c r="F51" s="64">
        <f t="shared" si="14"/>
        <v>0</v>
      </c>
      <c r="G51" s="47">
        <f>2</f>
        <v>2</v>
      </c>
      <c r="H51" s="119">
        <f>G51*18000</f>
        <v>36000</v>
      </c>
      <c r="I51" s="54"/>
      <c r="J51" s="54"/>
      <c r="K51" s="47">
        <f>1</f>
        <v>1</v>
      </c>
      <c r="L51" s="119">
        <f>K51*18000</f>
        <v>18000</v>
      </c>
      <c r="M51" s="54"/>
      <c r="N51" s="180"/>
    </row>
    <row r="52" spans="1:14" s="38" customFormat="1" ht="15" x14ac:dyDescent="0.25">
      <c r="A52" s="25"/>
      <c r="B52" s="193" t="s">
        <v>66</v>
      </c>
      <c r="C52" s="64">
        <f t="shared" si="11"/>
        <v>1</v>
      </c>
      <c r="D52" s="64">
        <f t="shared" si="12"/>
        <v>3000</v>
      </c>
      <c r="E52" s="64">
        <f t="shared" si="13"/>
        <v>0</v>
      </c>
      <c r="F52" s="64">
        <f t="shared" si="14"/>
        <v>0</v>
      </c>
      <c r="G52" s="47">
        <v>1</v>
      </c>
      <c r="H52" s="119">
        <f>G52*3000</f>
        <v>3000</v>
      </c>
      <c r="I52" s="54"/>
      <c r="J52" s="54"/>
      <c r="K52" s="54"/>
      <c r="L52" s="119">
        <f>K52*3000</f>
        <v>0</v>
      </c>
      <c r="M52" s="54"/>
      <c r="N52" s="180"/>
    </row>
    <row r="53" spans="1:14" s="38" customFormat="1" ht="15" x14ac:dyDescent="0.25">
      <c r="A53" s="25"/>
      <c r="B53" s="48" t="s">
        <v>67</v>
      </c>
      <c r="C53" s="64">
        <f t="shared" si="11"/>
        <v>4</v>
      </c>
      <c r="D53" s="64">
        <f t="shared" si="12"/>
        <v>24000</v>
      </c>
      <c r="E53" s="64">
        <f t="shared" si="13"/>
        <v>0</v>
      </c>
      <c r="F53" s="64">
        <f t="shared" si="14"/>
        <v>0</v>
      </c>
      <c r="G53" s="47">
        <f>2</f>
        <v>2</v>
      </c>
      <c r="H53" s="119">
        <f>G53*6000</f>
        <v>12000</v>
      </c>
      <c r="I53" s="54"/>
      <c r="J53" s="54"/>
      <c r="K53" s="47">
        <v>2</v>
      </c>
      <c r="L53" s="119">
        <f>K53*6000</f>
        <v>12000</v>
      </c>
      <c r="M53" s="54"/>
      <c r="N53" s="180"/>
    </row>
    <row r="54" spans="1:14" s="38" customFormat="1" x14ac:dyDescent="0.2">
      <c r="A54" s="25"/>
      <c r="B54" s="48" t="s">
        <v>68</v>
      </c>
      <c r="C54" s="64">
        <f t="shared" si="11"/>
        <v>1</v>
      </c>
      <c r="D54" s="64">
        <f t="shared" si="12"/>
        <v>8000</v>
      </c>
      <c r="E54" s="64">
        <f t="shared" si="13"/>
        <v>0</v>
      </c>
      <c r="F54" s="64">
        <f t="shared" si="14"/>
        <v>0</v>
      </c>
      <c r="G54" s="54">
        <v>1</v>
      </c>
      <c r="H54" s="119">
        <f>G54*8000</f>
        <v>8000</v>
      </c>
      <c r="I54" s="54"/>
      <c r="J54" s="54"/>
      <c r="K54" s="54"/>
      <c r="L54" s="119"/>
      <c r="M54" s="54"/>
      <c r="N54" s="180"/>
    </row>
    <row r="55" spans="1:14" s="38" customFormat="1" x14ac:dyDescent="0.2">
      <c r="A55" s="143"/>
      <c r="B55" s="48" t="s">
        <v>69</v>
      </c>
      <c r="C55" s="64">
        <f t="shared" si="11"/>
        <v>0</v>
      </c>
      <c r="D55" s="64">
        <f t="shared" si="12"/>
        <v>0</v>
      </c>
      <c r="E55" s="64">
        <f t="shared" si="13"/>
        <v>0</v>
      </c>
      <c r="F55" s="64">
        <f t="shared" si="14"/>
        <v>0</v>
      </c>
      <c r="G55" s="54"/>
      <c r="H55" s="119">
        <f>G55*5000</f>
        <v>0</v>
      </c>
      <c r="I55" s="54"/>
      <c r="J55" s="54"/>
      <c r="K55" s="54"/>
      <c r="L55" s="119"/>
      <c r="M55" s="54"/>
      <c r="N55" s="180"/>
    </row>
    <row r="56" spans="1:14" s="38" customFormat="1" x14ac:dyDescent="0.2">
      <c r="A56" s="143"/>
      <c r="B56" s="48" t="s">
        <v>70</v>
      </c>
      <c r="C56" s="64">
        <f t="shared" si="11"/>
        <v>0</v>
      </c>
      <c r="D56" s="64">
        <f t="shared" si="12"/>
        <v>0</v>
      </c>
      <c r="E56" s="64">
        <f t="shared" si="13"/>
        <v>0</v>
      </c>
      <c r="F56" s="64">
        <f t="shared" si="14"/>
        <v>0</v>
      </c>
      <c r="G56" s="54"/>
      <c r="H56" s="119"/>
      <c r="I56" s="54"/>
      <c r="J56" s="54"/>
      <c r="K56" s="54"/>
      <c r="L56" s="119"/>
      <c r="M56" s="54"/>
      <c r="N56" s="180"/>
    </row>
    <row r="57" spans="1:14" s="38" customFormat="1" x14ac:dyDescent="0.2">
      <c r="A57" s="143"/>
      <c r="B57" s="48" t="s">
        <v>71</v>
      </c>
      <c r="C57" s="64">
        <f t="shared" ref="C57:F58" si="15">G57+K57</f>
        <v>1</v>
      </c>
      <c r="D57" s="64">
        <f t="shared" si="15"/>
        <v>10000</v>
      </c>
      <c r="E57" s="64">
        <f t="shared" si="15"/>
        <v>0</v>
      </c>
      <c r="F57" s="64">
        <f t="shared" si="15"/>
        <v>0</v>
      </c>
      <c r="G57" s="54">
        <f>1</f>
        <v>1</v>
      </c>
      <c r="H57" s="119">
        <f>G57*10000</f>
        <v>10000</v>
      </c>
      <c r="I57" s="54"/>
      <c r="J57" s="54"/>
      <c r="K57" s="54"/>
      <c r="L57" s="119"/>
      <c r="M57" s="54"/>
      <c r="N57" s="180"/>
    </row>
    <row r="58" spans="1:14" s="38" customFormat="1" x14ac:dyDescent="0.2">
      <c r="A58" s="143"/>
      <c r="B58" s="48" t="s">
        <v>72</v>
      </c>
      <c r="C58" s="64">
        <f t="shared" si="15"/>
        <v>0</v>
      </c>
      <c r="D58" s="64">
        <f t="shared" si="15"/>
        <v>0</v>
      </c>
      <c r="E58" s="64">
        <f t="shared" si="15"/>
        <v>0</v>
      </c>
      <c r="F58" s="64">
        <f t="shared" si="15"/>
        <v>0</v>
      </c>
      <c r="G58" s="54"/>
      <c r="H58" s="119"/>
      <c r="I58" s="54"/>
      <c r="J58" s="54"/>
      <c r="K58" s="54"/>
      <c r="L58" s="119"/>
      <c r="M58" s="54"/>
      <c r="N58" s="180"/>
    </row>
    <row r="59" spans="1:14" s="38" customFormat="1" ht="13.5" thickBot="1" x14ac:dyDescent="0.25">
      <c r="A59" s="195"/>
      <c r="B59" s="182" t="s">
        <v>73</v>
      </c>
      <c r="C59" s="239">
        <f>G59+K59</f>
        <v>1</v>
      </c>
      <c r="D59" s="239">
        <f>H59+L59</f>
        <v>694500</v>
      </c>
      <c r="E59" s="239">
        <f>I59+M59</f>
        <v>0</v>
      </c>
      <c r="F59" s="239">
        <f>J59+N59</f>
        <v>0</v>
      </c>
      <c r="G59" s="200">
        <v>1</v>
      </c>
      <c r="H59" s="184">
        <f>660000+34500</f>
        <v>694500</v>
      </c>
      <c r="I59" s="200"/>
      <c r="J59" s="200"/>
      <c r="K59" s="200"/>
      <c r="L59" s="184"/>
      <c r="M59" s="200"/>
      <c r="N59" s="186"/>
    </row>
    <row r="60" spans="1:14" ht="13.5" thickBot="1" x14ac:dyDescent="0.25">
      <c r="A60" s="232"/>
      <c r="B60" s="255" t="s">
        <v>156</v>
      </c>
      <c r="C60" s="256">
        <f t="shared" ref="C60:I60" si="16">SUM(C50:C59)</f>
        <v>19</v>
      </c>
      <c r="D60" s="256">
        <f t="shared" si="16"/>
        <v>857500</v>
      </c>
      <c r="E60" s="256">
        <f t="shared" si="16"/>
        <v>0</v>
      </c>
      <c r="F60" s="256">
        <f t="shared" si="16"/>
        <v>0</v>
      </c>
      <c r="G60" s="256">
        <f t="shared" si="16"/>
        <v>12</v>
      </c>
      <c r="H60" s="256">
        <f t="shared" si="16"/>
        <v>795500</v>
      </c>
      <c r="I60" s="256">
        <f t="shared" si="16"/>
        <v>0</v>
      </c>
      <c r="J60" s="256">
        <f>SUM(J50:J58)</f>
        <v>0</v>
      </c>
      <c r="K60" s="256">
        <f>SUM(K50:K59)</f>
        <v>7</v>
      </c>
      <c r="L60" s="256">
        <f>SUM(L50:L59)</f>
        <v>62000</v>
      </c>
      <c r="M60" s="256">
        <f>SUM(M50:M59)</f>
        <v>0</v>
      </c>
      <c r="N60" s="256">
        <f>SUM(N50:N59)</f>
        <v>0</v>
      </c>
    </row>
    <row r="61" spans="1:14" x14ac:dyDescent="0.2">
      <c r="A61" s="175" t="s">
        <v>7</v>
      </c>
      <c r="B61" s="176" t="s">
        <v>74</v>
      </c>
      <c r="C61" s="213"/>
      <c r="D61" s="213"/>
      <c r="E61" s="213"/>
      <c r="F61" s="213"/>
      <c r="G61" s="177"/>
      <c r="H61" s="178"/>
      <c r="I61" s="177"/>
      <c r="J61" s="177"/>
      <c r="K61" s="177"/>
      <c r="L61" s="178"/>
      <c r="M61" s="177"/>
      <c r="N61" s="179"/>
    </row>
    <row r="62" spans="1:14" s="38" customFormat="1" x14ac:dyDescent="0.2">
      <c r="A62" s="25"/>
      <c r="B62" s="135" t="s">
        <v>75</v>
      </c>
      <c r="C62" s="64">
        <f t="shared" ref="C62:C72" si="17">G62+K62</f>
        <v>1</v>
      </c>
      <c r="D62" s="64">
        <f t="shared" ref="D62:D72" si="18">H62+L62</f>
        <v>130000</v>
      </c>
      <c r="E62" s="64">
        <f t="shared" ref="E62:E72" si="19">I62+M62</f>
        <v>0</v>
      </c>
      <c r="F62" s="64">
        <f t="shared" ref="F62:F72" si="20">J62+N62</f>
        <v>0</v>
      </c>
      <c r="G62" s="54">
        <f>1</f>
        <v>1</v>
      </c>
      <c r="H62" s="119">
        <f>G62*130000</f>
        <v>130000</v>
      </c>
      <c r="I62" s="54"/>
      <c r="J62" s="54"/>
      <c r="K62" s="54"/>
      <c r="L62" s="119"/>
      <c r="M62" s="54"/>
      <c r="N62" s="180"/>
    </row>
    <row r="63" spans="1:14" s="38" customFormat="1" ht="15" x14ac:dyDescent="0.25">
      <c r="A63" s="25"/>
      <c r="B63" s="135" t="s">
        <v>76</v>
      </c>
      <c r="C63" s="64">
        <f t="shared" si="17"/>
        <v>0</v>
      </c>
      <c r="D63" s="64">
        <f t="shared" si="18"/>
        <v>0</v>
      </c>
      <c r="E63" s="64">
        <f t="shared" si="19"/>
        <v>0</v>
      </c>
      <c r="F63" s="64">
        <f t="shared" si="20"/>
        <v>0</v>
      </c>
      <c r="G63" s="47"/>
      <c r="H63" s="119"/>
      <c r="I63" s="54"/>
      <c r="J63" s="54"/>
      <c r="K63" s="54"/>
      <c r="L63" s="119"/>
      <c r="M63" s="54"/>
      <c r="N63" s="180"/>
    </row>
    <row r="64" spans="1:14" s="38" customFormat="1" x14ac:dyDescent="0.2">
      <c r="A64" s="25"/>
      <c r="B64" s="135" t="s">
        <v>77</v>
      </c>
      <c r="C64" s="64">
        <f t="shared" si="17"/>
        <v>6</v>
      </c>
      <c r="D64" s="64">
        <f t="shared" si="18"/>
        <v>44000</v>
      </c>
      <c r="E64" s="64">
        <f t="shared" si="19"/>
        <v>0</v>
      </c>
      <c r="F64" s="64">
        <f t="shared" si="20"/>
        <v>0</v>
      </c>
      <c r="G64" s="54">
        <v>5</v>
      </c>
      <c r="H64" s="119">
        <f>G64*6800</f>
        <v>34000</v>
      </c>
      <c r="I64" s="54"/>
      <c r="J64" s="54"/>
      <c r="K64" s="54">
        <v>1</v>
      </c>
      <c r="L64" s="119">
        <v>10000</v>
      </c>
      <c r="M64" s="54"/>
      <c r="N64" s="180"/>
    </row>
    <row r="65" spans="1:14" s="38" customFormat="1" x14ac:dyDescent="0.2">
      <c r="A65" s="25"/>
      <c r="B65" s="135" t="s">
        <v>78</v>
      </c>
      <c r="C65" s="64">
        <f t="shared" si="17"/>
        <v>1</v>
      </c>
      <c r="D65" s="64">
        <f t="shared" si="18"/>
        <v>2500</v>
      </c>
      <c r="E65" s="64">
        <f t="shared" si="19"/>
        <v>0</v>
      </c>
      <c r="F65" s="64">
        <f t="shared" si="20"/>
        <v>0</v>
      </c>
      <c r="G65" s="54">
        <f>1</f>
        <v>1</v>
      </c>
      <c r="H65" s="119">
        <f>G65*2500</f>
        <v>2500</v>
      </c>
      <c r="I65" s="54"/>
      <c r="J65" s="54"/>
      <c r="K65" s="54"/>
      <c r="L65" s="119"/>
      <c r="M65" s="54"/>
      <c r="N65" s="180"/>
    </row>
    <row r="66" spans="1:14" s="38" customFormat="1" x14ac:dyDescent="0.2">
      <c r="A66" s="25"/>
      <c r="B66" s="135" t="s">
        <v>79</v>
      </c>
      <c r="C66" s="64">
        <f t="shared" si="17"/>
        <v>2</v>
      </c>
      <c r="D66" s="64">
        <f t="shared" si="18"/>
        <v>16000</v>
      </c>
      <c r="E66" s="64">
        <f t="shared" si="19"/>
        <v>0</v>
      </c>
      <c r="F66" s="64">
        <f t="shared" si="20"/>
        <v>0</v>
      </c>
      <c r="G66" s="54">
        <f>2</f>
        <v>2</v>
      </c>
      <c r="H66" s="119">
        <f>G66*8000</f>
        <v>16000</v>
      </c>
      <c r="I66" s="54"/>
      <c r="J66" s="54"/>
      <c r="K66" s="54"/>
      <c r="L66" s="119"/>
      <c r="M66" s="54"/>
      <c r="N66" s="180"/>
    </row>
    <row r="67" spans="1:14" s="38" customFormat="1" x14ac:dyDescent="0.2">
      <c r="A67" s="25"/>
      <c r="B67" s="135" t="s">
        <v>80</v>
      </c>
      <c r="C67" s="64">
        <f t="shared" si="17"/>
        <v>0</v>
      </c>
      <c r="D67" s="64">
        <f t="shared" si="18"/>
        <v>0</v>
      </c>
      <c r="E67" s="64">
        <f t="shared" si="19"/>
        <v>0</v>
      </c>
      <c r="F67" s="64">
        <f t="shared" si="20"/>
        <v>0</v>
      </c>
      <c r="G67" s="54"/>
      <c r="H67" s="119"/>
      <c r="I67" s="54"/>
      <c r="J67" s="54"/>
      <c r="K67" s="54"/>
      <c r="L67" s="119"/>
      <c r="M67" s="54"/>
      <c r="N67" s="180"/>
    </row>
    <row r="68" spans="1:14" s="38" customFormat="1" x14ac:dyDescent="0.2">
      <c r="A68" s="25"/>
      <c r="B68" s="135" t="s">
        <v>81</v>
      </c>
      <c r="C68" s="64">
        <f t="shared" si="17"/>
        <v>0</v>
      </c>
      <c r="D68" s="64">
        <f t="shared" si="18"/>
        <v>0</v>
      </c>
      <c r="E68" s="64">
        <f t="shared" si="19"/>
        <v>0</v>
      </c>
      <c r="F68" s="64">
        <f t="shared" si="20"/>
        <v>0</v>
      </c>
      <c r="G68" s="54"/>
      <c r="H68" s="119"/>
      <c r="I68" s="54"/>
      <c r="J68" s="54"/>
      <c r="K68" s="54"/>
      <c r="L68" s="119"/>
      <c r="M68" s="54"/>
      <c r="N68" s="180"/>
    </row>
    <row r="69" spans="1:14" s="38" customFormat="1" x14ac:dyDescent="0.2">
      <c r="A69" s="25"/>
      <c r="B69" s="135" t="s">
        <v>82</v>
      </c>
      <c r="C69" s="64">
        <f t="shared" si="17"/>
        <v>0</v>
      </c>
      <c r="D69" s="64">
        <f t="shared" si="18"/>
        <v>0</v>
      </c>
      <c r="E69" s="64">
        <f t="shared" si="19"/>
        <v>0</v>
      </c>
      <c r="F69" s="64">
        <f t="shared" si="20"/>
        <v>0</v>
      </c>
      <c r="G69" s="54"/>
      <c r="H69" s="119"/>
      <c r="I69" s="54"/>
      <c r="J69" s="54"/>
      <c r="K69" s="54"/>
      <c r="L69" s="119"/>
      <c r="M69" s="54"/>
      <c r="N69" s="180"/>
    </row>
    <row r="70" spans="1:14" s="38" customFormat="1" ht="15" x14ac:dyDescent="0.25">
      <c r="A70" s="25"/>
      <c r="B70" s="135" t="s">
        <v>83</v>
      </c>
      <c r="C70" s="64">
        <f t="shared" si="17"/>
        <v>2</v>
      </c>
      <c r="D70" s="64">
        <f t="shared" si="18"/>
        <v>10000</v>
      </c>
      <c r="E70" s="64">
        <f t="shared" si="19"/>
        <v>0</v>
      </c>
      <c r="F70" s="64">
        <f t="shared" si="20"/>
        <v>0</v>
      </c>
      <c r="G70" s="47">
        <f>1</f>
        <v>1</v>
      </c>
      <c r="H70" s="119">
        <f>5000*G70</f>
        <v>5000</v>
      </c>
      <c r="I70" s="54"/>
      <c r="J70" s="54"/>
      <c r="K70" s="54">
        <f>1</f>
        <v>1</v>
      </c>
      <c r="L70" s="119">
        <f>5000*K70</f>
        <v>5000</v>
      </c>
      <c r="M70" s="54"/>
      <c r="N70" s="180"/>
    </row>
    <row r="71" spans="1:14" s="38" customFormat="1" x14ac:dyDescent="0.2">
      <c r="A71" s="25"/>
      <c r="B71" s="135" t="s">
        <v>84</v>
      </c>
      <c r="C71" s="64">
        <f t="shared" si="17"/>
        <v>0</v>
      </c>
      <c r="D71" s="64">
        <f t="shared" si="18"/>
        <v>0</v>
      </c>
      <c r="E71" s="64">
        <f t="shared" si="19"/>
        <v>0</v>
      </c>
      <c r="F71" s="64">
        <f t="shared" si="20"/>
        <v>0</v>
      </c>
      <c r="G71" s="54"/>
      <c r="H71" s="119"/>
      <c r="I71" s="54"/>
      <c r="J71" s="54"/>
      <c r="K71" s="54"/>
      <c r="L71" s="119"/>
      <c r="M71" s="54"/>
      <c r="N71" s="180"/>
    </row>
    <row r="72" spans="1:14" s="38" customFormat="1" ht="13.5" thickBot="1" x14ac:dyDescent="0.25">
      <c r="A72" s="181"/>
      <c r="B72" s="199" t="s">
        <v>85</v>
      </c>
      <c r="C72" s="239">
        <f t="shared" si="17"/>
        <v>0</v>
      </c>
      <c r="D72" s="239">
        <f t="shared" si="18"/>
        <v>0</v>
      </c>
      <c r="E72" s="239">
        <f t="shared" si="19"/>
        <v>0</v>
      </c>
      <c r="F72" s="239">
        <f t="shared" si="20"/>
        <v>0</v>
      </c>
      <c r="G72" s="200"/>
      <c r="H72" s="184"/>
      <c r="I72" s="200"/>
      <c r="J72" s="200"/>
      <c r="K72" s="200"/>
      <c r="L72" s="184"/>
      <c r="M72" s="200"/>
      <c r="N72" s="186"/>
    </row>
    <row r="73" spans="1:14" ht="13.5" thickBot="1" x14ac:dyDescent="0.25">
      <c r="A73" s="99"/>
      <c r="B73" s="284" t="s">
        <v>157</v>
      </c>
      <c r="C73" s="234">
        <f t="shared" ref="C73:N73" si="21">SUM(C62:C72)</f>
        <v>12</v>
      </c>
      <c r="D73" s="234">
        <f t="shared" si="21"/>
        <v>202500</v>
      </c>
      <c r="E73" s="234">
        <f t="shared" si="21"/>
        <v>0</v>
      </c>
      <c r="F73" s="234">
        <f t="shared" si="21"/>
        <v>0</v>
      </c>
      <c r="G73" s="234">
        <f t="shared" si="21"/>
        <v>10</v>
      </c>
      <c r="H73" s="234">
        <f t="shared" si="21"/>
        <v>187500</v>
      </c>
      <c r="I73" s="234">
        <f t="shared" si="21"/>
        <v>0</v>
      </c>
      <c r="J73" s="234">
        <f t="shared" si="21"/>
        <v>0</v>
      </c>
      <c r="K73" s="234">
        <f t="shared" si="21"/>
        <v>2</v>
      </c>
      <c r="L73" s="234">
        <f t="shared" si="21"/>
        <v>15000</v>
      </c>
      <c r="M73" s="234">
        <f t="shared" si="21"/>
        <v>0</v>
      </c>
      <c r="N73" s="234">
        <f t="shared" si="21"/>
        <v>0</v>
      </c>
    </row>
    <row r="74" spans="1:14" x14ac:dyDescent="0.2">
      <c r="A74" s="175" t="s">
        <v>8</v>
      </c>
      <c r="B74" s="194" t="s">
        <v>86</v>
      </c>
      <c r="C74" s="213"/>
      <c r="D74" s="213"/>
      <c r="E74" s="213"/>
      <c r="F74" s="213"/>
      <c r="G74" s="177"/>
      <c r="H74" s="178"/>
      <c r="I74" s="177"/>
      <c r="J74" s="177"/>
      <c r="K74" s="177"/>
      <c r="L74" s="178"/>
      <c r="M74" s="177"/>
      <c r="N74" s="179"/>
    </row>
    <row r="75" spans="1:14" s="38" customFormat="1" x14ac:dyDescent="0.2">
      <c r="A75" s="25"/>
      <c r="B75" s="193" t="s">
        <v>87</v>
      </c>
      <c r="C75" s="64">
        <f t="shared" ref="C75:C76" si="22">G75+K75</f>
        <v>0</v>
      </c>
      <c r="D75" s="64">
        <f t="shared" ref="D75:D76" si="23">H75+L75</f>
        <v>0</v>
      </c>
      <c r="E75" s="64">
        <f t="shared" ref="E75:E76" si="24">I75+M75</f>
        <v>0</v>
      </c>
      <c r="F75" s="64">
        <f t="shared" ref="F75:F76" si="25">J75+N75</f>
        <v>0</v>
      </c>
      <c r="G75" s="54"/>
      <c r="H75" s="119"/>
      <c r="I75" s="54"/>
      <c r="J75" s="54"/>
      <c r="K75" s="54"/>
      <c r="L75" s="119"/>
      <c r="M75" s="54"/>
      <c r="N75" s="180"/>
    </row>
    <row r="76" spans="1:14" s="38" customFormat="1" ht="26.25" thickBot="1" x14ac:dyDescent="0.25">
      <c r="A76" s="187"/>
      <c r="B76" s="204" t="s">
        <v>88</v>
      </c>
      <c r="C76" s="241">
        <f t="shared" si="22"/>
        <v>1</v>
      </c>
      <c r="D76" s="241">
        <f t="shared" si="23"/>
        <v>15000</v>
      </c>
      <c r="E76" s="241">
        <f t="shared" si="24"/>
        <v>0</v>
      </c>
      <c r="F76" s="241">
        <f t="shared" si="25"/>
        <v>0</v>
      </c>
      <c r="G76" s="202">
        <f>1</f>
        <v>1</v>
      </c>
      <c r="H76" s="189">
        <f>15000</f>
        <v>15000</v>
      </c>
      <c r="I76" s="202"/>
      <c r="J76" s="202"/>
      <c r="K76" s="202"/>
      <c r="L76" s="189"/>
      <c r="M76" s="202"/>
      <c r="N76" s="191"/>
    </row>
    <row r="77" spans="1:14" x14ac:dyDescent="0.2">
      <c r="A77" s="285"/>
      <c r="B77" s="286" t="s">
        <v>158</v>
      </c>
      <c r="C77" s="287">
        <f t="shared" ref="C77:N77" si="26">SUM(C75:C76)</f>
        <v>1</v>
      </c>
      <c r="D77" s="287">
        <f t="shared" si="26"/>
        <v>15000</v>
      </c>
      <c r="E77" s="287">
        <f t="shared" si="26"/>
        <v>0</v>
      </c>
      <c r="F77" s="287">
        <f t="shared" si="26"/>
        <v>0</v>
      </c>
      <c r="G77" s="287">
        <f t="shared" si="26"/>
        <v>1</v>
      </c>
      <c r="H77" s="287">
        <f t="shared" si="26"/>
        <v>15000</v>
      </c>
      <c r="I77" s="287">
        <f t="shared" si="26"/>
        <v>0</v>
      </c>
      <c r="J77" s="287">
        <f t="shared" si="26"/>
        <v>0</v>
      </c>
      <c r="K77" s="287">
        <f t="shared" si="26"/>
        <v>0</v>
      </c>
      <c r="L77" s="287">
        <f t="shared" si="26"/>
        <v>0</v>
      </c>
      <c r="M77" s="287">
        <f t="shared" si="26"/>
        <v>0</v>
      </c>
      <c r="N77" s="287">
        <f t="shared" si="26"/>
        <v>0</v>
      </c>
    </row>
    <row r="78" spans="1:14" x14ac:dyDescent="0.2">
      <c r="A78" s="57" t="s">
        <v>9</v>
      </c>
      <c r="B78" s="112" t="s">
        <v>90</v>
      </c>
      <c r="C78" s="54"/>
      <c r="D78" s="54"/>
      <c r="E78" s="54"/>
      <c r="F78" s="54"/>
      <c r="G78" s="113"/>
      <c r="H78" s="119"/>
      <c r="I78" s="113"/>
      <c r="J78" s="113"/>
      <c r="K78" s="113"/>
      <c r="L78" s="119"/>
      <c r="M78" s="113"/>
      <c r="N78" s="113"/>
    </row>
    <row r="79" spans="1:14" s="38" customFormat="1" ht="15" x14ac:dyDescent="0.25">
      <c r="A79" s="57"/>
      <c r="B79" s="205" t="s">
        <v>91</v>
      </c>
      <c r="C79" s="64">
        <f t="shared" ref="C79:F80" si="27">G79+K79</f>
        <v>2</v>
      </c>
      <c r="D79" s="64">
        <f t="shared" si="27"/>
        <v>1100000</v>
      </c>
      <c r="E79" s="64">
        <f t="shared" si="27"/>
        <v>0</v>
      </c>
      <c r="F79" s="64">
        <f t="shared" si="27"/>
        <v>0</v>
      </c>
      <c r="G79" s="47">
        <v>1</v>
      </c>
      <c r="H79" s="119">
        <f>G79*550000</f>
        <v>550000</v>
      </c>
      <c r="I79" s="54"/>
      <c r="J79" s="54"/>
      <c r="K79" s="47">
        <v>1</v>
      </c>
      <c r="L79" s="119">
        <f>K79*550000</f>
        <v>550000</v>
      </c>
      <c r="M79" s="54"/>
      <c r="N79" s="54"/>
    </row>
    <row r="80" spans="1:14" s="38" customFormat="1" ht="15" x14ac:dyDescent="0.25">
      <c r="A80" s="57"/>
      <c r="B80" s="205" t="s">
        <v>92</v>
      </c>
      <c r="C80" s="64">
        <f t="shared" si="27"/>
        <v>4</v>
      </c>
      <c r="D80" s="64">
        <f t="shared" si="27"/>
        <v>1800000</v>
      </c>
      <c r="E80" s="64">
        <f t="shared" si="27"/>
        <v>0</v>
      </c>
      <c r="F80" s="64">
        <f t="shared" si="27"/>
        <v>0</v>
      </c>
      <c r="G80" s="47">
        <v>3</v>
      </c>
      <c r="H80" s="119">
        <f>G80*450000</f>
        <v>1350000</v>
      </c>
      <c r="I80" s="54"/>
      <c r="J80" s="54"/>
      <c r="K80" s="47">
        <v>1</v>
      </c>
      <c r="L80" s="119">
        <f>K80*450000</f>
        <v>450000</v>
      </c>
      <c r="M80" s="54"/>
      <c r="N80" s="54"/>
    </row>
    <row r="81" spans="1:14" s="38" customFormat="1" ht="15" x14ac:dyDescent="0.25">
      <c r="A81" s="57"/>
      <c r="B81" s="205" t="s">
        <v>93</v>
      </c>
      <c r="C81" s="64"/>
      <c r="D81" s="64"/>
      <c r="E81" s="64"/>
      <c r="F81" s="64"/>
      <c r="G81" s="47">
        <v>0</v>
      </c>
      <c r="H81" s="119">
        <f>G81*15000</f>
        <v>0</v>
      </c>
      <c r="I81" s="54"/>
      <c r="J81" s="54"/>
      <c r="K81" s="47">
        <v>0</v>
      </c>
      <c r="L81" s="119">
        <f>K81*15000</f>
        <v>0</v>
      </c>
      <c r="M81" s="54"/>
      <c r="N81" s="54"/>
    </row>
    <row r="82" spans="1:14" s="38" customFormat="1" ht="15" x14ac:dyDescent="0.25">
      <c r="A82" s="57"/>
      <c r="B82" s="205" t="s">
        <v>94</v>
      </c>
      <c r="C82" s="64">
        <f>G82+K82</f>
        <v>1</v>
      </c>
      <c r="D82" s="64">
        <f>H82+L82</f>
        <v>130000</v>
      </c>
      <c r="E82" s="64">
        <f>I82+M82</f>
        <v>0</v>
      </c>
      <c r="F82" s="64">
        <f>J82+N82</f>
        <v>0</v>
      </c>
      <c r="G82" s="47">
        <v>1</v>
      </c>
      <c r="H82" s="119">
        <f>G82*130000</f>
        <v>130000</v>
      </c>
      <c r="I82" s="54"/>
      <c r="J82" s="54"/>
      <c r="K82" s="47">
        <v>0</v>
      </c>
      <c r="L82" s="119">
        <f>K82*130000</f>
        <v>0</v>
      </c>
      <c r="M82" s="54"/>
      <c r="N82" s="54"/>
    </row>
    <row r="83" spans="1:14" s="38" customFormat="1" ht="15" x14ac:dyDescent="0.25">
      <c r="A83" s="57"/>
      <c r="B83" s="48" t="s">
        <v>95</v>
      </c>
      <c r="C83" s="64">
        <f t="shared" ref="C83:C91" si="28">G83+K83</f>
        <v>3</v>
      </c>
      <c r="D83" s="64">
        <f t="shared" ref="D83:D91" si="29">H83+L83</f>
        <v>15000</v>
      </c>
      <c r="E83" s="64">
        <f t="shared" ref="E83:E91" si="30">I83+M83</f>
        <v>0</v>
      </c>
      <c r="F83" s="64">
        <f t="shared" ref="F83:F91" si="31">J83+N83</f>
        <v>0</v>
      </c>
      <c r="G83" s="47">
        <v>3</v>
      </c>
      <c r="H83" s="119">
        <f>G83*5000</f>
        <v>15000</v>
      </c>
      <c r="I83" s="54"/>
      <c r="J83" s="54"/>
      <c r="K83" s="47">
        <v>0</v>
      </c>
      <c r="L83" s="119">
        <f>K83*5000</f>
        <v>0</v>
      </c>
      <c r="M83" s="54"/>
      <c r="N83" s="54"/>
    </row>
    <row r="84" spans="1:14" s="141" customFormat="1" ht="15" customHeight="1" x14ac:dyDescent="0.25">
      <c r="A84" s="57"/>
      <c r="B84" s="205" t="s">
        <v>96</v>
      </c>
      <c r="C84" s="64">
        <f t="shared" ref="C84:F89" si="32">G84+K84</f>
        <v>2</v>
      </c>
      <c r="D84" s="64">
        <f t="shared" si="32"/>
        <v>10000</v>
      </c>
      <c r="E84" s="64">
        <f t="shared" si="32"/>
        <v>0</v>
      </c>
      <c r="F84" s="64">
        <f t="shared" si="32"/>
        <v>0</v>
      </c>
      <c r="G84" s="47">
        <v>2</v>
      </c>
      <c r="H84" s="119">
        <f>G84*5000</f>
        <v>10000</v>
      </c>
      <c r="I84" s="54"/>
      <c r="J84" s="54"/>
      <c r="K84" s="47">
        <v>0</v>
      </c>
      <c r="L84" s="119">
        <f>K84*5000</f>
        <v>0</v>
      </c>
      <c r="M84" s="54"/>
      <c r="N84" s="54"/>
    </row>
    <row r="85" spans="1:14" s="141" customFormat="1" ht="15" customHeight="1" x14ac:dyDescent="0.25">
      <c r="A85" s="57"/>
      <c r="B85" s="205" t="s">
        <v>97</v>
      </c>
      <c r="C85" s="64">
        <f t="shared" si="32"/>
        <v>3</v>
      </c>
      <c r="D85" s="64">
        <f t="shared" si="32"/>
        <v>21000</v>
      </c>
      <c r="E85" s="64">
        <f t="shared" si="32"/>
        <v>0</v>
      </c>
      <c r="F85" s="64">
        <f t="shared" si="32"/>
        <v>0</v>
      </c>
      <c r="G85" s="47">
        <v>3</v>
      </c>
      <c r="H85" s="119">
        <f>G85*7000</f>
        <v>21000</v>
      </c>
      <c r="I85" s="54"/>
      <c r="J85" s="54"/>
      <c r="K85" s="47">
        <v>0</v>
      </c>
      <c r="L85" s="119">
        <f>K85*7000</f>
        <v>0</v>
      </c>
      <c r="M85" s="54"/>
      <c r="N85" s="54"/>
    </row>
    <row r="86" spans="1:14" s="141" customFormat="1" ht="15" customHeight="1" x14ac:dyDescent="0.25">
      <c r="A86" s="57"/>
      <c r="B86" s="205" t="s">
        <v>98</v>
      </c>
      <c r="C86" s="64">
        <f t="shared" si="32"/>
        <v>10</v>
      </c>
      <c r="D86" s="64">
        <f t="shared" si="32"/>
        <v>80000</v>
      </c>
      <c r="E86" s="64">
        <f t="shared" si="32"/>
        <v>0</v>
      </c>
      <c r="F86" s="64">
        <f t="shared" si="32"/>
        <v>0</v>
      </c>
      <c r="G86" s="47">
        <v>5</v>
      </c>
      <c r="H86" s="119">
        <f>G86*8000</f>
        <v>40000</v>
      </c>
      <c r="I86" s="54"/>
      <c r="J86" s="54"/>
      <c r="K86" s="47">
        <v>5</v>
      </c>
      <c r="L86" s="119">
        <f>K86*8000</f>
        <v>40000</v>
      </c>
      <c r="M86" s="54"/>
      <c r="N86" s="54"/>
    </row>
    <row r="87" spans="1:14" s="38" customFormat="1" ht="15" x14ac:dyDescent="0.25">
      <c r="A87" s="57"/>
      <c r="B87" s="205" t="s">
        <v>99</v>
      </c>
      <c r="C87" s="64">
        <f t="shared" si="32"/>
        <v>1</v>
      </c>
      <c r="D87" s="64">
        <f t="shared" si="32"/>
        <v>8000</v>
      </c>
      <c r="E87" s="64">
        <f t="shared" si="32"/>
        <v>0</v>
      </c>
      <c r="F87" s="64">
        <f t="shared" si="32"/>
        <v>0</v>
      </c>
      <c r="G87" s="47">
        <v>1</v>
      </c>
      <c r="H87" s="119">
        <f>G87*8000</f>
        <v>8000</v>
      </c>
      <c r="I87" s="54"/>
      <c r="J87" s="54"/>
      <c r="K87" s="47">
        <v>0</v>
      </c>
      <c r="L87" s="119">
        <f>K87*8000</f>
        <v>0</v>
      </c>
      <c r="M87" s="54"/>
      <c r="N87" s="54"/>
    </row>
    <row r="88" spans="1:14" s="141" customFormat="1" ht="15" customHeight="1" x14ac:dyDescent="0.25">
      <c r="A88" s="57"/>
      <c r="B88" s="205" t="s">
        <v>100</v>
      </c>
      <c r="C88" s="64">
        <f t="shared" si="32"/>
        <v>1</v>
      </c>
      <c r="D88" s="64">
        <f t="shared" si="32"/>
        <v>25000</v>
      </c>
      <c r="E88" s="64">
        <f t="shared" si="32"/>
        <v>0</v>
      </c>
      <c r="F88" s="64">
        <f t="shared" si="32"/>
        <v>0</v>
      </c>
      <c r="G88" s="47">
        <v>1</v>
      </c>
      <c r="H88" s="119">
        <f>G88*25000</f>
        <v>25000</v>
      </c>
      <c r="I88" s="54"/>
      <c r="J88" s="54"/>
      <c r="K88" s="47">
        <v>0</v>
      </c>
      <c r="L88" s="119">
        <f>K88*25000</f>
        <v>0</v>
      </c>
      <c r="M88" s="54"/>
      <c r="N88" s="54"/>
    </row>
    <row r="89" spans="1:14" s="141" customFormat="1" ht="15" customHeight="1" x14ac:dyDescent="0.2">
      <c r="A89" s="57"/>
      <c r="B89" s="205" t="s">
        <v>101</v>
      </c>
      <c r="C89" s="64">
        <f t="shared" si="32"/>
        <v>5</v>
      </c>
      <c r="D89" s="64">
        <f t="shared" si="32"/>
        <v>7500</v>
      </c>
      <c r="E89" s="64">
        <f t="shared" si="32"/>
        <v>0</v>
      </c>
      <c r="F89" s="64">
        <f t="shared" si="32"/>
        <v>0</v>
      </c>
      <c r="G89" s="54">
        <v>0</v>
      </c>
      <c r="H89" s="119">
        <f>G89*1500</f>
        <v>0</v>
      </c>
      <c r="I89" s="54"/>
      <c r="J89" s="54"/>
      <c r="K89" s="54">
        <v>5</v>
      </c>
      <c r="L89" s="119">
        <f>K89*1500</f>
        <v>7500</v>
      </c>
      <c r="M89" s="54"/>
      <c r="N89" s="54"/>
    </row>
    <row r="90" spans="1:14" s="38" customFormat="1" ht="15" x14ac:dyDescent="0.25">
      <c r="A90" s="57"/>
      <c r="B90" s="205" t="s">
        <v>102</v>
      </c>
      <c r="C90" s="64">
        <f t="shared" si="28"/>
        <v>13</v>
      </c>
      <c r="D90" s="64">
        <f t="shared" si="29"/>
        <v>455000</v>
      </c>
      <c r="E90" s="64">
        <f t="shared" si="30"/>
        <v>0</v>
      </c>
      <c r="F90" s="64">
        <f t="shared" si="31"/>
        <v>0</v>
      </c>
      <c r="G90" s="47">
        <v>6</v>
      </c>
      <c r="H90" s="119">
        <f>G90*35000</f>
        <v>210000</v>
      </c>
      <c r="I90" s="54"/>
      <c r="J90" s="54"/>
      <c r="K90" s="47">
        <v>7</v>
      </c>
      <c r="L90" s="119">
        <f>K90*35000</f>
        <v>245000</v>
      </c>
      <c r="M90" s="54"/>
      <c r="N90" s="54"/>
    </row>
    <row r="91" spans="1:14" s="141" customFormat="1" ht="15" customHeight="1" thickBot="1" x14ac:dyDescent="0.25">
      <c r="A91" s="289"/>
      <c r="B91" s="188" t="s">
        <v>103</v>
      </c>
      <c r="C91" s="241">
        <f t="shared" si="28"/>
        <v>0</v>
      </c>
      <c r="D91" s="241">
        <f t="shared" si="29"/>
        <v>0</v>
      </c>
      <c r="E91" s="241">
        <f t="shared" si="30"/>
        <v>0</v>
      </c>
      <c r="F91" s="241">
        <f t="shared" si="31"/>
        <v>0</v>
      </c>
      <c r="G91" s="202"/>
      <c r="H91" s="189"/>
      <c r="I91" s="202"/>
      <c r="J91" s="202"/>
      <c r="K91" s="202"/>
      <c r="L91" s="189"/>
      <c r="M91" s="202"/>
      <c r="N91" s="202"/>
    </row>
    <row r="92" spans="1:14" ht="13.5" thickBot="1" x14ac:dyDescent="0.25">
      <c r="A92" s="285"/>
      <c r="B92" s="286" t="s">
        <v>159</v>
      </c>
      <c r="C92" s="287">
        <f t="shared" ref="C92:N92" si="33">SUM(C79:C91)</f>
        <v>45</v>
      </c>
      <c r="D92" s="287">
        <f t="shared" si="33"/>
        <v>3651500</v>
      </c>
      <c r="E92" s="287">
        <f t="shared" si="33"/>
        <v>0</v>
      </c>
      <c r="F92" s="287">
        <f t="shared" si="33"/>
        <v>0</v>
      </c>
      <c r="G92" s="287">
        <f t="shared" si="33"/>
        <v>26</v>
      </c>
      <c r="H92" s="287">
        <f t="shared" si="33"/>
        <v>2359000</v>
      </c>
      <c r="I92" s="287">
        <f t="shared" si="33"/>
        <v>0</v>
      </c>
      <c r="J92" s="287">
        <f t="shared" si="33"/>
        <v>0</v>
      </c>
      <c r="K92" s="287">
        <f t="shared" si="33"/>
        <v>19</v>
      </c>
      <c r="L92" s="287">
        <f t="shared" si="33"/>
        <v>1292500</v>
      </c>
      <c r="M92" s="287">
        <f t="shared" si="33"/>
        <v>0</v>
      </c>
      <c r="N92" s="287">
        <f t="shared" si="33"/>
        <v>0</v>
      </c>
    </row>
    <row r="93" spans="1:14" x14ac:dyDescent="0.2">
      <c r="A93" s="210" t="s">
        <v>10</v>
      </c>
      <c r="B93" s="211" t="s">
        <v>104</v>
      </c>
      <c r="C93" s="213"/>
      <c r="D93" s="213"/>
      <c r="E93" s="213"/>
      <c r="F93" s="213"/>
      <c r="G93" s="177"/>
      <c r="H93" s="178"/>
      <c r="I93" s="177"/>
      <c r="J93" s="177"/>
      <c r="K93" s="177"/>
      <c r="L93" s="178"/>
      <c r="M93" s="177"/>
      <c r="N93" s="179"/>
    </row>
    <row r="94" spans="1:14" s="141" customFormat="1" ht="15" x14ac:dyDescent="0.25">
      <c r="A94" s="143"/>
      <c r="B94" s="205" t="s">
        <v>105</v>
      </c>
      <c r="C94" s="64">
        <f t="shared" ref="C94:C132" si="34">G94+K94</f>
        <v>0</v>
      </c>
      <c r="D94" s="64">
        <f t="shared" ref="D94:D132" si="35">H94+L94</f>
        <v>0</v>
      </c>
      <c r="E94" s="64">
        <f t="shared" ref="E94:E132" si="36">I94+M94</f>
        <v>0</v>
      </c>
      <c r="F94" s="64">
        <f t="shared" ref="F94:F132" si="37">J94+N94</f>
        <v>0</v>
      </c>
      <c r="G94" s="47"/>
      <c r="H94" s="119"/>
      <c r="I94" s="54"/>
      <c r="J94" s="54"/>
      <c r="K94" s="47"/>
      <c r="L94" s="119"/>
      <c r="M94" s="54"/>
      <c r="N94" s="180"/>
    </row>
    <row r="95" spans="1:14" s="38" customFormat="1" ht="15" x14ac:dyDescent="0.25">
      <c r="A95" s="25"/>
      <c r="B95" s="48" t="s">
        <v>106</v>
      </c>
      <c r="C95" s="64">
        <f t="shared" ref="C95:C104" si="38">G95+K95</f>
        <v>0</v>
      </c>
      <c r="D95" s="64">
        <f t="shared" si="35"/>
        <v>0</v>
      </c>
      <c r="E95" s="64">
        <f t="shared" si="36"/>
        <v>0</v>
      </c>
      <c r="F95" s="64">
        <f t="shared" si="37"/>
        <v>0</v>
      </c>
      <c r="G95" s="47"/>
      <c r="H95" s="119"/>
      <c r="I95" s="54"/>
      <c r="J95" s="54"/>
      <c r="K95" s="47"/>
      <c r="L95" s="119"/>
      <c r="M95" s="54"/>
      <c r="N95" s="180"/>
    </row>
    <row r="96" spans="1:14" s="38" customFormat="1" ht="15" x14ac:dyDescent="0.25">
      <c r="A96" s="25"/>
      <c r="B96" s="48" t="s">
        <v>107</v>
      </c>
      <c r="C96" s="64">
        <f t="shared" si="38"/>
        <v>0</v>
      </c>
      <c r="D96" s="64">
        <f t="shared" si="35"/>
        <v>0</v>
      </c>
      <c r="E96" s="64">
        <f t="shared" si="36"/>
        <v>0</v>
      </c>
      <c r="F96" s="64">
        <f t="shared" si="37"/>
        <v>0</v>
      </c>
      <c r="G96" s="47"/>
      <c r="H96" s="119"/>
      <c r="I96" s="54"/>
      <c r="J96" s="54"/>
      <c r="K96" s="54"/>
      <c r="L96" s="119"/>
      <c r="M96" s="54"/>
      <c r="N96" s="180"/>
    </row>
    <row r="97" spans="1:14" s="38" customFormat="1" ht="15" x14ac:dyDescent="0.25">
      <c r="A97" s="25"/>
      <c r="B97" s="208" t="s">
        <v>109</v>
      </c>
      <c r="C97" s="64">
        <f t="shared" si="38"/>
        <v>0</v>
      </c>
      <c r="D97" s="64">
        <f t="shared" si="35"/>
        <v>0</v>
      </c>
      <c r="E97" s="64">
        <f t="shared" si="36"/>
        <v>0</v>
      </c>
      <c r="F97" s="64">
        <f t="shared" si="37"/>
        <v>0</v>
      </c>
      <c r="G97" s="47"/>
      <c r="H97" s="119"/>
      <c r="I97" s="54"/>
      <c r="J97" s="54"/>
      <c r="K97" s="47"/>
      <c r="L97" s="119"/>
      <c r="M97" s="54"/>
      <c r="N97" s="180"/>
    </row>
    <row r="98" spans="1:14" s="38" customFormat="1" x14ac:dyDescent="0.2">
      <c r="A98" s="25"/>
      <c r="B98" s="208" t="s">
        <v>111</v>
      </c>
      <c r="C98" s="64">
        <f t="shared" si="38"/>
        <v>0</v>
      </c>
      <c r="D98" s="64">
        <f t="shared" si="35"/>
        <v>0</v>
      </c>
      <c r="E98" s="64">
        <f t="shared" si="36"/>
        <v>0</v>
      </c>
      <c r="F98" s="64">
        <f t="shared" si="37"/>
        <v>0</v>
      </c>
      <c r="G98" s="54"/>
      <c r="H98" s="119"/>
      <c r="I98" s="54"/>
      <c r="J98" s="54"/>
      <c r="K98" s="54"/>
      <c r="L98" s="119"/>
      <c r="M98" s="54"/>
      <c r="N98" s="180"/>
    </row>
    <row r="99" spans="1:14" s="38" customFormat="1" ht="15" x14ac:dyDescent="0.25">
      <c r="A99" s="25"/>
      <c r="B99" s="208" t="s">
        <v>113</v>
      </c>
      <c r="C99" s="64">
        <f t="shared" si="38"/>
        <v>0</v>
      </c>
      <c r="D99" s="64">
        <f t="shared" si="35"/>
        <v>0</v>
      </c>
      <c r="E99" s="64">
        <f t="shared" si="36"/>
        <v>0</v>
      </c>
      <c r="F99" s="64">
        <f t="shared" si="37"/>
        <v>0</v>
      </c>
      <c r="G99" s="47"/>
      <c r="H99" s="119"/>
      <c r="I99" s="54"/>
      <c r="J99" s="54"/>
      <c r="K99" s="54"/>
      <c r="L99" s="119"/>
      <c r="M99" s="54"/>
      <c r="N99" s="180"/>
    </row>
    <row r="100" spans="1:14" s="38" customFormat="1" x14ac:dyDescent="0.2">
      <c r="A100" s="25"/>
      <c r="B100" s="208" t="s">
        <v>115</v>
      </c>
      <c r="C100" s="64">
        <f t="shared" si="38"/>
        <v>0</v>
      </c>
      <c r="D100" s="64">
        <f t="shared" si="35"/>
        <v>0</v>
      </c>
      <c r="E100" s="64">
        <f t="shared" si="36"/>
        <v>0</v>
      </c>
      <c r="F100" s="64">
        <f t="shared" si="37"/>
        <v>0</v>
      </c>
      <c r="G100" s="54"/>
      <c r="H100" s="119"/>
      <c r="I100" s="54"/>
      <c r="J100" s="54"/>
      <c r="K100" s="54"/>
      <c r="L100" s="119"/>
      <c r="M100" s="54"/>
      <c r="N100" s="180"/>
    </row>
    <row r="101" spans="1:14" s="38" customFormat="1" x14ac:dyDescent="0.2">
      <c r="A101" s="25"/>
      <c r="B101" s="208" t="s">
        <v>279</v>
      </c>
      <c r="C101" s="64"/>
      <c r="D101" s="64"/>
      <c r="E101" s="64"/>
      <c r="F101" s="64"/>
      <c r="G101" s="54"/>
      <c r="H101" s="119"/>
      <c r="I101" s="54"/>
      <c r="J101" s="54"/>
      <c r="K101" s="54"/>
      <c r="L101" s="119"/>
      <c r="M101" s="54"/>
      <c r="N101" s="180"/>
    </row>
    <row r="102" spans="1:14" s="38" customFormat="1" x14ac:dyDescent="0.2">
      <c r="A102" s="25"/>
      <c r="B102" s="205" t="s">
        <v>116</v>
      </c>
      <c r="C102" s="64">
        <f t="shared" si="38"/>
        <v>0</v>
      </c>
      <c r="D102" s="64">
        <f t="shared" si="35"/>
        <v>0</v>
      </c>
      <c r="E102" s="64">
        <f t="shared" si="36"/>
        <v>0</v>
      </c>
      <c r="F102" s="64">
        <f t="shared" si="37"/>
        <v>0</v>
      </c>
      <c r="G102" s="54"/>
      <c r="H102" s="119"/>
      <c r="I102" s="54"/>
      <c r="J102" s="54"/>
      <c r="K102" s="54"/>
      <c r="L102" s="119"/>
      <c r="M102" s="54"/>
      <c r="N102" s="180"/>
    </row>
    <row r="103" spans="1:14" s="141" customFormat="1" ht="15" x14ac:dyDescent="0.25">
      <c r="A103" s="25"/>
      <c r="B103" s="208" t="s">
        <v>117</v>
      </c>
      <c r="C103" s="64">
        <f t="shared" si="38"/>
        <v>0</v>
      </c>
      <c r="D103" s="64">
        <f t="shared" si="35"/>
        <v>0</v>
      </c>
      <c r="E103" s="64">
        <f t="shared" si="36"/>
        <v>0</v>
      </c>
      <c r="F103" s="64">
        <f t="shared" si="37"/>
        <v>0</v>
      </c>
      <c r="G103" s="47"/>
      <c r="H103" s="119"/>
      <c r="I103" s="54"/>
      <c r="J103" s="54"/>
      <c r="K103" s="47"/>
      <c r="L103" s="119"/>
      <c r="M103" s="54"/>
      <c r="N103" s="180"/>
    </row>
    <row r="104" spans="1:14" s="38" customFormat="1" x14ac:dyDescent="0.2">
      <c r="A104" s="25"/>
      <c r="B104" s="48" t="s">
        <v>118</v>
      </c>
      <c r="C104" s="64">
        <f t="shared" si="38"/>
        <v>0</v>
      </c>
      <c r="D104" s="64">
        <f t="shared" si="35"/>
        <v>0</v>
      </c>
      <c r="E104" s="64">
        <f t="shared" si="36"/>
        <v>0</v>
      </c>
      <c r="F104" s="64">
        <f t="shared" si="37"/>
        <v>0</v>
      </c>
      <c r="G104" s="54"/>
      <c r="H104" s="119"/>
      <c r="I104" s="54"/>
      <c r="J104" s="54"/>
      <c r="K104" s="54"/>
      <c r="L104" s="119"/>
      <c r="M104" s="54"/>
      <c r="N104" s="180"/>
    </row>
    <row r="105" spans="1:14" s="141" customFormat="1" x14ac:dyDescent="0.2">
      <c r="A105" s="143"/>
      <c r="B105" s="205" t="s">
        <v>119</v>
      </c>
      <c r="C105" s="64">
        <f t="shared" si="34"/>
        <v>0</v>
      </c>
      <c r="D105" s="64">
        <f t="shared" si="35"/>
        <v>0</v>
      </c>
      <c r="E105" s="64">
        <f t="shared" si="36"/>
        <v>0</v>
      </c>
      <c r="F105" s="64">
        <f t="shared" si="37"/>
        <v>0</v>
      </c>
      <c r="G105" s="54"/>
      <c r="H105" s="119"/>
      <c r="I105" s="54"/>
      <c r="J105" s="54"/>
      <c r="K105" s="54"/>
      <c r="L105" s="119"/>
      <c r="M105" s="54"/>
      <c r="N105" s="180"/>
    </row>
    <row r="106" spans="1:14" s="141" customFormat="1" x14ac:dyDescent="0.2">
      <c r="A106" s="143"/>
      <c r="B106" s="48" t="s">
        <v>120</v>
      </c>
      <c r="C106" s="64">
        <f t="shared" si="34"/>
        <v>0</v>
      </c>
      <c r="D106" s="64">
        <f t="shared" si="35"/>
        <v>0</v>
      </c>
      <c r="E106" s="64">
        <f t="shared" si="36"/>
        <v>0</v>
      </c>
      <c r="F106" s="64">
        <f t="shared" si="37"/>
        <v>0</v>
      </c>
      <c r="G106" s="54"/>
      <c r="H106" s="119"/>
      <c r="I106" s="54"/>
      <c r="J106" s="54"/>
      <c r="K106" s="54"/>
      <c r="L106" s="119"/>
      <c r="M106" s="54"/>
      <c r="N106" s="180"/>
    </row>
    <row r="107" spans="1:14" s="38" customFormat="1" ht="25.5" x14ac:dyDescent="0.2">
      <c r="A107" s="25"/>
      <c r="B107" s="320" t="s">
        <v>122</v>
      </c>
      <c r="C107" s="64">
        <f t="shared" si="34"/>
        <v>0</v>
      </c>
      <c r="D107" s="64">
        <f t="shared" si="35"/>
        <v>0</v>
      </c>
      <c r="E107" s="64">
        <f t="shared" si="36"/>
        <v>0</v>
      </c>
      <c r="F107" s="64">
        <f t="shared" si="37"/>
        <v>0</v>
      </c>
      <c r="G107" s="54"/>
      <c r="H107" s="119"/>
      <c r="I107" s="54"/>
      <c r="J107" s="54"/>
      <c r="K107" s="54"/>
      <c r="L107" s="119"/>
      <c r="M107" s="54"/>
      <c r="N107" s="180"/>
    </row>
    <row r="108" spans="1:14" s="38" customFormat="1" ht="25.5" x14ac:dyDescent="0.2">
      <c r="A108" s="25"/>
      <c r="B108" s="209" t="s">
        <v>124</v>
      </c>
      <c r="C108" s="64">
        <f t="shared" si="34"/>
        <v>0</v>
      </c>
      <c r="D108" s="64">
        <f t="shared" si="35"/>
        <v>0</v>
      </c>
      <c r="E108" s="64">
        <f t="shared" si="36"/>
        <v>0</v>
      </c>
      <c r="F108" s="64">
        <f t="shared" si="37"/>
        <v>0</v>
      </c>
      <c r="G108" s="54"/>
      <c r="H108" s="119"/>
      <c r="I108" s="54"/>
      <c r="J108" s="54"/>
      <c r="K108" s="54"/>
      <c r="L108" s="119"/>
      <c r="M108" s="54"/>
      <c r="N108" s="180"/>
    </row>
    <row r="109" spans="1:14" s="38" customFormat="1" x14ac:dyDescent="0.2">
      <c r="A109" s="25"/>
      <c r="B109" s="320" t="s">
        <v>126</v>
      </c>
      <c r="C109" s="64">
        <f t="shared" si="34"/>
        <v>0</v>
      </c>
      <c r="D109" s="64">
        <f t="shared" si="35"/>
        <v>0</v>
      </c>
      <c r="E109" s="64">
        <f t="shared" si="36"/>
        <v>0</v>
      </c>
      <c r="F109" s="64">
        <f t="shared" si="37"/>
        <v>0</v>
      </c>
      <c r="G109" s="54"/>
      <c r="H109" s="119"/>
      <c r="I109" s="54"/>
      <c r="J109" s="54"/>
      <c r="K109" s="54"/>
      <c r="L109" s="119"/>
      <c r="M109" s="54"/>
      <c r="N109" s="180"/>
    </row>
    <row r="110" spans="1:14" s="38" customFormat="1" x14ac:dyDescent="0.2">
      <c r="A110" s="25"/>
      <c r="B110" s="320" t="s">
        <v>128</v>
      </c>
      <c r="C110" s="64">
        <f>G110+K110</f>
        <v>0</v>
      </c>
      <c r="D110" s="64">
        <f>H110+L110</f>
        <v>0</v>
      </c>
      <c r="E110" s="64">
        <f>I110+M110</f>
        <v>0</v>
      </c>
      <c r="F110" s="64">
        <f>J110+N110</f>
        <v>0</v>
      </c>
      <c r="G110" s="54"/>
      <c r="H110" s="119"/>
      <c r="I110" s="54"/>
      <c r="J110" s="54"/>
      <c r="K110" s="54"/>
      <c r="L110" s="119"/>
      <c r="M110" s="54"/>
      <c r="N110" s="180"/>
    </row>
    <row r="111" spans="1:14" s="38" customFormat="1" x14ac:dyDescent="0.2">
      <c r="A111" s="25"/>
      <c r="B111" s="320" t="s">
        <v>130</v>
      </c>
      <c r="C111" s="64">
        <f t="shared" si="34"/>
        <v>0</v>
      </c>
      <c r="D111" s="64">
        <f t="shared" si="35"/>
        <v>0</v>
      </c>
      <c r="E111" s="64">
        <f t="shared" si="36"/>
        <v>0</v>
      </c>
      <c r="F111" s="64">
        <f t="shared" si="37"/>
        <v>0</v>
      </c>
      <c r="G111" s="54"/>
      <c r="H111" s="119"/>
      <c r="I111" s="54"/>
      <c r="J111" s="54"/>
      <c r="K111" s="54"/>
      <c r="L111" s="119"/>
      <c r="M111" s="54"/>
      <c r="N111" s="180"/>
    </row>
    <row r="112" spans="1:14" s="38" customFormat="1" x14ac:dyDescent="0.2">
      <c r="A112" s="25"/>
      <c r="B112" s="320" t="s">
        <v>280</v>
      </c>
      <c r="C112" s="64">
        <f t="shared" ref="C112:F114" si="39">G112+K112</f>
        <v>0</v>
      </c>
      <c r="D112" s="64">
        <f t="shared" si="39"/>
        <v>0</v>
      </c>
      <c r="E112" s="64">
        <f t="shared" si="39"/>
        <v>0</v>
      </c>
      <c r="F112" s="64">
        <f t="shared" si="39"/>
        <v>0</v>
      </c>
      <c r="G112" s="54"/>
      <c r="H112" s="119"/>
      <c r="I112" s="54"/>
      <c r="J112" s="54"/>
      <c r="K112" s="54"/>
      <c r="L112" s="119"/>
      <c r="M112" s="54"/>
      <c r="N112" s="180"/>
    </row>
    <row r="113" spans="1:14" s="38" customFormat="1" x14ac:dyDescent="0.2">
      <c r="A113" s="25"/>
      <c r="B113" s="320" t="s">
        <v>133</v>
      </c>
      <c r="C113" s="64">
        <f t="shared" si="39"/>
        <v>0</v>
      </c>
      <c r="D113" s="64">
        <f t="shared" si="39"/>
        <v>0</v>
      </c>
      <c r="E113" s="64">
        <f t="shared" si="39"/>
        <v>0</v>
      </c>
      <c r="F113" s="64">
        <f t="shared" si="39"/>
        <v>0</v>
      </c>
      <c r="G113" s="54"/>
      <c r="H113" s="119"/>
      <c r="I113" s="54"/>
      <c r="J113" s="54"/>
      <c r="K113" s="54"/>
      <c r="L113" s="119"/>
      <c r="M113" s="54"/>
      <c r="N113" s="180"/>
    </row>
    <row r="114" spans="1:14" s="141" customFormat="1" ht="13.5" customHeight="1" x14ac:dyDescent="0.2">
      <c r="A114" s="25"/>
      <c r="B114" s="208" t="s">
        <v>134</v>
      </c>
      <c r="C114" s="64">
        <f t="shared" si="39"/>
        <v>0</v>
      </c>
      <c r="D114" s="64">
        <f t="shared" si="39"/>
        <v>0</v>
      </c>
      <c r="E114" s="64">
        <f t="shared" si="39"/>
        <v>0</v>
      </c>
      <c r="F114" s="64">
        <f t="shared" si="39"/>
        <v>0</v>
      </c>
      <c r="G114" s="54"/>
      <c r="H114" s="119"/>
      <c r="I114" s="54"/>
      <c r="J114" s="54"/>
      <c r="K114" s="54"/>
      <c r="L114" s="119"/>
      <c r="M114" s="54"/>
      <c r="N114" s="180"/>
    </row>
    <row r="115" spans="1:14" s="141" customFormat="1" ht="13.5" customHeight="1" x14ac:dyDescent="0.2">
      <c r="A115" s="25"/>
      <c r="B115" s="208" t="s">
        <v>135</v>
      </c>
      <c r="C115" s="64"/>
      <c r="D115" s="64"/>
      <c r="E115" s="64"/>
      <c r="F115" s="64"/>
      <c r="G115" s="54"/>
      <c r="H115" s="119"/>
      <c r="I115" s="54"/>
      <c r="J115" s="54"/>
      <c r="K115" s="54"/>
      <c r="L115" s="119"/>
      <c r="M115" s="54"/>
      <c r="N115" s="180"/>
    </row>
    <row r="116" spans="1:14" s="141" customFormat="1" ht="25.5" x14ac:dyDescent="0.2">
      <c r="A116" s="25"/>
      <c r="B116" s="208" t="s">
        <v>136</v>
      </c>
      <c r="C116" s="64"/>
      <c r="D116" s="64">
        <f>H116+L116</f>
        <v>0</v>
      </c>
      <c r="E116" s="64">
        <f>I116+M116</f>
        <v>0</v>
      </c>
      <c r="F116" s="64">
        <f>J116+N116</f>
        <v>0</v>
      </c>
      <c r="G116" s="54"/>
      <c r="H116" s="119"/>
      <c r="I116" s="54"/>
      <c r="J116" s="54"/>
      <c r="K116" s="54"/>
      <c r="L116" s="119"/>
      <c r="M116" s="54"/>
      <c r="N116" s="180"/>
    </row>
    <row r="117" spans="1:14" s="38" customFormat="1" x14ac:dyDescent="0.2">
      <c r="A117" s="25"/>
      <c r="B117" s="205" t="s">
        <v>137</v>
      </c>
      <c r="C117" s="64">
        <f t="shared" ref="C117:F122" si="40">G117+K117</f>
        <v>0</v>
      </c>
      <c r="D117" s="64">
        <f t="shared" si="40"/>
        <v>0</v>
      </c>
      <c r="E117" s="64">
        <f t="shared" si="40"/>
        <v>0</v>
      </c>
      <c r="F117" s="64">
        <f t="shared" si="40"/>
        <v>0</v>
      </c>
      <c r="G117" s="54"/>
      <c r="H117" s="119"/>
      <c r="I117" s="54"/>
      <c r="J117" s="54"/>
      <c r="K117" s="54"/>
      <c r="L117" s="119"/>
      <c r="M117" s="54"/>
      <c r="N117" s="180"/>
    </row>
    <row r="118" spans="1:14" s="38" customFormat="1" x14ac:dyDescent="0.2">
      <c r="A118" s="25"/>
      <c r="B118" s="205" t="s">
        <v>138</v>
      </c>
      <c r="C118" s="64">
        <f t="shared" si="40"/>
        <v>0</v>
      </c>
      <c r="D118" s="64">
        <f t="shared" si="40"/>
        <v>0</v>
      </c>
      <c r="E118" s="64">
        <f t="shared" si="40"/>
        <v>0</v>
      </c>
      <c r="F118" s="64">
        <f t="shared" si="40"/>
        <v>0</v>
      </c>
      <c r="G118" s="54"/>
      <c r="H118" s="119"/>
      <c r="I118" s="54"/>
      <c r="J118" s="54"/>
      <c r="K118" s="54"/>
      <c r="L118" s="119"/>
      <c r="M118" s="54"/>
      <c r="N118" s="180"/>
    </row>
    <row r="119" spans="1:14" s="38" customFormat="1" x14ac:dyDescent="0.2">
      <c r="A119" s="25"/>
      <c r="B119" s="48" t="s">
        <v>139</v>
      </c>
      <c r="C119" s="64">
        <f t="shared" si="40"/>
        <v>0</v>
      </c>
      <c r="D119" s="64">
        <f t="shared" si="40"/>
        <v>0</v>
      </c>
      <c r="E119" s="64">
        <f t="shared" si="40"/>
        <v>0</v>
      </c>
      <c r="F119" s="64">
        <f t="shared" si="40"/>
        <v>0</v>
      </c>
      <c r="G119" s="54"/>
      <c r="H119" s="119"/>
      <c r="I119" s="54"/>
      <c r="J119" s="54"/>
      <c r="K119" s="54"/>
      <c r="L119" s="119"/>
      <c r="M119" s="54"/>
      <c r="N119" s="180"/>
    </row>
    <row r="120" spans="1:14" s="38" customFormat="1" x14ac:dyDescent="0.2">
      <c r="A120" s="25"/>
      <c r="B120" s="48" t="s">
        <v>140</v>
      </c>
      <c r="C120" s="64">
        <f t="shared" si="40"/>
        <v>0</v>
      </c>
      <c r="D120" s="64">
        <f t="shared" si="40"/>
        <v>0</v>
      </c>
      <c r="E120" s="64">
        <f t="shared" si="40"/>
        <v>0</v>
      </c>
      <c r="F120" s="64">
        <f t="shared" si="40"/>
        <v>0</v>
      </c>
      <c r="G120" s="54"/>
      <c r="H120" s="119"/>
      <c r="I120" s="54"/>
      <c r="J120" s="54"/>
      <c r="K120" s="54"/>
      <c r="L120" s="119"/>
      <c r="M120" s="54"/>
      <c r="N120" s="180"/>
    </row>
    <row r="121" spans="1:14" s="38" customFormat="1" x14ac:dyDescent="0.2">
      <c r="A121" s="25"/>
      <c r="B121" s="48" t="s">
        <v>141</v>
      </c>
      <c r="C121" s="64">
        <f t="shared" si="40"/>
        <v>0</v>
      </c>
      <c r="D121" s="64">
        <f t="shared" si="40"/>
        <v>0</v>
      </c>
      <c r="E121" s="64">
        <f t="shared" si="40"/>
        <v>0</v>
      </c>
      <c r="F121" s="64">
        <f t="shared" si="40"/>
        <v>0</v>
      </c>
      <c r="G121" s="54"/>
      <c r="H121" s="119"/>
      <c r="I121" s="54"/>
      <c r="J121" s="54"/>
      <c r="K121" s="54"/>
      <c r="L121" s="119"/>
      <c r="M121" s="54"/>
      <c r="N121" s="180"/>
    </row>
    <row r="122" spans="1:14" s="38" customFormat="1" x14ac:dyDescent="0.2">
      <c r="A122" s="25"/>
      <c r="B122" s="48" t="s">
        <v>142</v>
      </c>
      <c r="C122" s="64">
        <f t="shared" si="40"/>
        <v>0</v>
      </c>
      <c r="D122" s="64">
        <f t="shared" si="40"/>
        <v>0</v>
      </c>
      <c r="E122" s="64">
        <f t="shared" si="40"/>
        <v>0</v>
      </c>
      <c r="F122" s="64">
        <f t="shared" si="40"/>
        <v>0</v>
      </c>
      <c r="G122" s="54"/>
      <c r="H122" s="119"/>
      <c r="I122" s="54"/>
      <c r="J122" s="54"/>
      <c r="K122" s="54"/>
      <c r="L122" s="119"/>
      <c r="M122" s="54"/>
      <c r="N122" s="180"/>
    </row>
    <row r="123" spans="1:14" s="38" customFormat="1" x14ac:dyDescent="0.2">
      <c r="A123" s="25"/>
      <c r="B123" s="205" t="s">
        <v>143</v>
      </c>
      <c r="C123" s="64">
        <f t="shared" ref="C123:F123" si="41">G123+K123</f>
        <v>0</v>
      </c>
      <c r="D123" s="64">
        <f t="shared" si="41"/>
        <v>0</v>
      </c>
      <c r="E123" s="64">
        <f t="shared" si="41"/>
        <v>0</v>
      </c>
      <c r="F123" s="64">
        <f t="shared" si="41"/>
        <v>0</v>
      </c>
      <c r="G123" s="54"/>
      <c r="H123" s="119"/>
      <c r="I123" s="54"/>
      <c r="J123" s="54"/>
      <c r="K123" s="54"/>
      <c r="L123" s="119"/>
      <c r="M123" s="54"/>
      <c r="N123" s="180"/>
    </row>
    <row r="124" spans="1:14" s="38" customFormat="1" x14ac:dyDescent="0.2">
      <c r="A124" s="25"/>
      <c r="B124" s="48" t="s">
        <v>144</v>
      </c>
      <c r="C124" s="64">
        <f t="shared" si="34"/>
        <v>0</v>
      </c>
      <c r="D124" s="64">
        <f t="shared" si="35"/>
        <v>0</v>
      </c>
      <c r="E124" s="64">
        <f t="shared" si="36"/>
        <v>0</v>
      </c>
      <c r="F124" s="64">
        <f t="shared" si="37"/>
        <v>0</v>
      </c>
      <c r="G124" s="54"/>
      <c r="H124" s="119"/>
      <c r="I124" s="54"/>
      <c r="J124" s="54"/>
      <c r="K124" s="54"/>
      <c r="L124" s="119"/>
      <c r="M124" s="54"/>
      <c r="N124" s="180"/>
    </row>
    <row r="125" spans="1:14" s="38" customFormat="1" ht="38.25" x14ac:dyDescent="0.2">
      <c r="A125" s="25"/>
      <c r="B125" s="205" t="s">
        <v>145</v>
      </c>
      <c r="C125" s="64">
        <f>G125+K125</f>
        <v>0</v>
      </c>
      <c r="D125" s="64">
        <f>H125+L125</f>
        <v>0</v>
      </c>
      <c r="E125" s="64">
        <f>I125+M125</f>
        <v>0</v>
      </c>
      <c r="F125" s="64">
        <f>J125+N125</f>
        <v>0</v>
      </c>
      <c r="G125" s="54"/>
      <c r="H125" s="119"/>
      <c r="I125" s="54"/>
      <c r="J125" s="54"/>
      <c r="K125" s="54"/>
      <c r="L125" s="119"/>
      <c r="M125" s="54"/>
      <c r="N125" s="180"/>
    </row>
    <row r="126" spans="1:14" s="38" customFormat="1" x14ac:dyDescent="0.2">
      <c r="A126" s="25"/>
      <c r="B126" s="205" t="s">
        <v>146</v>
      </c>
      <c r="C126" s="64"/>
      <c r="D126" s="64"/>
      <c r="E126" s="64"/>
      <c r="F126" s="64"/>
      <c r="G126" s="54"/>
      <c r="H126" s="119"/>
      <c r="I126" s="54"/>
      <c r="J126" s="54"/>
      <c r="K126" s="54"/>
      <c r="L126" s="119"/>
      <c r="M126" s="54"/>
      <c r="N126" s="180"/>
    </row>
    <row r="127" spans="1:14" s="38" customFormat="1" x14ac:dyDescent="0.2">
      <c r="A127" s="25"/>
      <c r="B127" s="205" t="s">
        <v>147</v>
      </c>
      <c r="C127" s="64"/>
      <c r="D127" s="64"/>
      <c r="E127" s="64"/>
      <c r="F127" s="64"/>
      <c r="G127" s="54"/>
      <c r="H127" s="119"/>
      <c r="I127" s="54"/>
      <c r="J127" s="54"/>
      <c r="K127" s="54"/>
      <c r="L127" s="119"/>
      <c r="M127" s="54"/>
      <c r="N127" s="180"/>
    </row>
    <row r="128" spans="1:14" s="38" customFormat="1" x14ac:dyDescent="0.2">
      <c r="A128" s="25"/>
      <c r="B128" s="205" t="s">
        <v>148</v>
      </c>
      <c r="C128" s="64"/>
      <c r="D128" s="64"/>
      <c r="E128" s="64"/>
      <c r="F128" s="64"/>
      <c r="G128" s="54"/>
      <c r="H128" s="119"/>
      <c r="I128" s="54"/>
      <c r="J128" s="54"/>
      <c r="K128" s="54"/>
      <c r="L128" s="119"/>
      <c r="M128" s="54"/>
      <c r="N128" s="180"/>
    </row>
    <row r="129" spans="1:14" s="53" customFormat="1" ht="25.5" x14ac:dyDescent="0.25">
      <c r="A129" s="25"/>
      <c r="B129" s="205" t="s">
        <v>149</v>
      </c>
      <c r="C129" s="64">
        <f t="shared" si="34"/>
        <v>2</v>
      </c>
      <c r="D129" s="64">
        <f t="shared" si="35"/>
        <v>170000</v>
      </c>
      <c r="E129" s="64">
        <f t="shared" si="36"/>
        <v>0</v>
      </c>
      <c r="F129" s="64">
        <f t="shared" si="37"/>
        <v>0</v>
      </c>
      <c r="G129" s="47">
        <v>2</v>
      </c>
      <c r="H129" s="119">
        <v>170000</v>
      </c>
      <c r="I129" s="54"/>
      <c r="J129" s="54"/>
      <c r="K129" s="47"/>
      <c r="L129" s="119"/>
      <c r="M129" s="54"/>
      <c r="N129" s="180"/>
    </row>
    <row r="130" spans="1:14" s="38" customFormat="1" x14ac:dyDescent="0.2">
      <c r="A130" s="25"/>
      <c r="B130" s="205" t="s">
        <v>150</v>
      </c>
      <c r="C130" s="64">
        <f t="shared" si="34"/>
        <v>0</v>
      </c>
      <c r="D130" s="64">
        <f t="shared" si="35"/>
        <v>0</v>
      </c>
      <c r="E130" s="64">
        <f t="shared" si="36"/>
        <v>0</v>
      </c>
      <c r="F130" s="64">
        <f t="shared" si="37"/>
        <v>0</v>
      </c>
      <c r="G130" s="54"/>
      <c r="H130" s="119"/>
      <c r="I130" s="54"/>
      <c r="J130" s="54"/>
      <c r="K130" s="54"/>
      <c r="L130" s="119"/>
      <c r="M130" s="54"/>
      <c r="N130" s="180"/>
    </row>
    <row r="131" spans="1:14" s="38" customFormat="1" x14ac:dyDescent="0.2">
      <c r="A131" s="25"/>
      <c r="B131" s="205" t="s">
        <v>151</v>
      </c>
      <c r="C131" s="64">
        <f t="shared" si="34"/>
        <v>0</v>
      </c>
      <c r="D131" s="64">
        <f t="shared" si="35"/>
        <v>0</v>
      </c>
      <c r="E131" s="64">
        <f t="shared" si="36"/>
        <v>0</v>
      </c>
      <c r="F131" s="64">
        <f t="shared" si="37"/>
        <v>0</v>
      </c>
      <c r="G131" s="54"/>
      <c r="H131" s="119"/>
      <c r="I131" s="54"/>
      <c r="J131" s="54"/>
      <c r="K131" s="54"/>
      <c r="L131" s="119"/>
      <c r="M131" s="54"/>
      <c r="N131" s="180"/>
    </row>
    <row r="132" spans="1:14" s="38" customFormat="1" x14ac:dyDescent="0.2">
      <c r="A132" s="25"/>
      <c r="B132" s="48" t="s">
        <v>152</v>
      </c>
      <c r="C132" s="64">
        <f t="shared" si="34"/>
        <v>4</v>
      </c>
      <c r="D132" s="64">
        <f t="shared" si="35"/>
        <v>240000</v>
      </c>
      <c r="E132" s="64">
        <f t="shared" si="36"/>
        <v>0</v>
      </c>
      <c r="F132" s="64">
        <f t="shared" si="37"/>
        <v>0</v>
      </c>
      <c r="G132" s="54">
        <f>4</f>
        <v>4</v>
      </c>
      <c r="H132" s="119">
        <f>G132*60000</f>
        <v>240000</v>
      </c>
      <c r="I132" s="54"/>
      <c r="J132" s="54"/>
      <c r="K132" s="54"/>
      <c r="L132" s="119"/>
      <c r="M132" s="54"/>
      <c r="N132" s="180"/>
    </row>
    <row r="133" spans="1:14" x14ac:dyDescent="0.2">
      <c r="A133" s="291"/>
      <c r="B133" s="167" t="s">
        <v>160</v>
      </c>
      <c r="C133" s="168">
        <f t="shared" ref="C133:H133" si="42">SUM(C94:C132)</f>
        <v>6</v>
      </c>
      <c r="D133" s="168">
        <f t="shared" si="42"/>
        <v>410000</v>
      </c>
      <c r="E133" s="168">
        <f t="shared" si="42"/>
        <v>0</v>
      </c>
      <c r="F133" s="168">
        <f t="shared" si="42"/>
        <v>0</v>
      </c>
      <c r="G133" s="168">
        <f t="shared" si="42"/>
        <v>6</v>
      </c>
      <c r="H133" s="168">
        <f t="shared" si="42"/>
        <v>410000</v>
      </c>
      <c r="I133" s="168"/>
      <c r="J133" s="168">
        <f>SUM(J94:J132)</f>
        <v>0</v>
      </c>
      <c r="K133" s="168">
        <f>SUM(K94:K132)</f>
        <v>0</v>
      </c>
      <c r="L133" s="168">
        <f>SUM(L94:L132)</f>
        <v>0</v>
      </c>
      <c r="M133" s="168"/>
      <c r="N133" s="292">
        <f>SUM(N94:N132)</f>
        <v>0</v>
      </c>
    </row>
    <row r="134" spans="1:14" s="38" customFormat="1" x14ac:dyDescent="0.2">
      <c r="A134" s="293" t="s">
        <v>11</v>
      </c>
      <c r="B134" s="207" t="s">
        <v>153</v>
      </c>
      <c r="C134" s="54"/>
      <c r="D134" s="54"/>
      <c r="E134" s="54"/>
      <c r="F134" s="54"/>
      <c r="G134" s="54"/>
      <c r="H134" s="119"/>
      <c r="I134" s="54"/>
      <c r="J134" s="54"/>
      <c r="K134" s="54"/>
      <c r="L134" s="119"/>
      <c r="M134" s="54"/>
      <c r="N134" s="180"/>
    </row>
    <row r="135" spans="1:14" s="38" customFormat="1" x14ac:dyDescent="0.2">
      <c r="A135" s="25"/>
      <c r="B135" s="205" t="s">
        <v>163</v>
      </c>
      <c r="C135" s="64">
        <f t="shared" ref="C135:C165" si="43">G135+K135</f>
        <v>8</v>
      </c>
      <c r="D135" s="64">
        <f t="shared" ref="D135:D165" si="44">H135+L135</f>
        <v>1425000</v>
      </c>
      <c r="E135" s="64">
        <f t="shared" ref="E135:E165" si="45">I135+M135</f>
        <v>0</v>
      </c>
      <c r="F135" s="64">
        <f t="shared" ref="F135:F165" si="46">J135+N135</f>
        <v>0</v>
      </c>
      <c r="G135" s="54">
        <v>5</v>
      </c>
      <c r="H135" s="119">
        <v>1060000</v>
      </c>
      <c r="I135" s="54"/>
      <c r="J135" s="54"/>
      <c r="K135" s="54">
        <v>3</v>
      </c>
      <c r="L135" s="119">
        <v>365000</v>
      </c>
      <c r="M135" s="54"/>
      <c r="N135" s="180"/>
    </row>
    <row r="136" spans="1:14" s="38" customFormat="1" x14ac:dyDescent="0.2">
      <c r="A136" s="25"/>
      <c r="B136" s="205" t="s">
        <v>164</v>
      </c>
      <c r="C136" s="64">
        <f t="shared" si="43"/>
        <v>0</v>
      </c>
      <c r="D136" s="64">
        <f t="shared" si="44"/>
        <v>0</v>
      </c>
      <c r="E136" s="64">
        <f t="shared" si="45"/>
        <v>0</v>
      </c>
      <c r="F136" s="64">
        <f t="shared" si="46"/>
        <v>0</v>
      </c>
      <c r="G136" s="54"/>
      <c r="H136" s="119"/>
      <c r="I136" s="54"/>
      <c r="J136" s="54"/>
      <c r="K136" s="54"/>
      <c r="L136" s="119"/>
      <c r="M136" s="54"/>
      <c r="N136" s="180"/>
    </row>
    <row r="137" spans="1:14" s="38" customFormat="1" x14ac:dyDescent="0.2">
      <c r="A137" s="25"/>
      <c r="B137" s="205" t="s">
        <v>165</v>
      </c>
      <c r="C137" s="64">
        <f t="shared" si="43"/>
        <v>0</v>
      </c>
      <c r="D137" s="64">
        <f t="shared" si="44"/>
        <v>0</v>
      </c>
      <c r="E137" s="64">
        <f t="shared" si="45"/>
        <v>0</v>
      </c>
      <c r="F137" s="64">
        <f t="shared" si="46"/>
        <v>0</v>
      </c>
      <c r="G137" s="54"/>
      <c r="H137" s="119"/>
      <c r="I137" s="54"/>
      <c r="J137" s="54"/>
      <c r="K137" s="54"/>
      <c r="L137" s="119"/>
      <c r="M137" s="54"/>
      <c r="N137" s="180"/>
    </row>
    <row r="138" spans="1:14" s="38" customFormat="1" ht="15" x14ac:dyDescent="0.25">
      <c r="A138" s="25"/>
      <c r="B138" s="205" t="s">
        <v>166</v>
      </c>
      <c r="C138" s="64">
        <f t="shared" si="43"/>
        <v>31</v>
      </c>
      <c r="D138" s="64">
        <f t="shared" si="44"/>
        <v>1193000</v>
      </c>
      <c r="E138" s="64">
        <f t="shared" si="45"/>
        <v>0</v>
      </c>
      <c r="F138" s="64">
        <f t="shared" si="46"/>
        <v>0</v>
      </c>
      <c r="G138" s="47">
        <v>19</v>
      </c>
      <c r="H138" s="119">
        <v>863000</v>
      </c>
      <c r="I138" s="54"/>
      <c r="J138" s="54"/>
      <c r="K138" s="47">
        <v>12</v>
      </c>
      <c r="L138" s="119">
        <v>330000</v>
      </c>
      <c r="M138" s="54"/>
      <c r="N138" s="180"/>
    </row>
    <row r="139" spans="1:14" s="38" customFormat="1" ht="25.5" x14ac:dyDescent="0.2">
      <c r="A139" s="25"/>
      <c r="B139" s="205" t="s">
        <v>167</v>
      </c>
      <c r="C139" s="64">
        <f t="shared" si="43"/>
        <v>0</v>
      </c>
      <c r="D139" s="64">
        <f t="shared" si="44"/>
        <v>0</v>
      </c>
      <c r="E139" s="64">
        <f t="shared" si="45"/>
        <v>0</v>
      </c>
      <c r="F139" s="64">
        <f t="shared" si="46"/>
        <v>0</v>
      </c>
      <c r="G139" s="290"/>
      <c r="H139" s="119"/>
      <c r="I139" s="54"/>
      <c r="J139" s="54"/>
      <c r="K139" s="54"/>
      <c r="L139" s="119"/>
      <c r="M139" s="54"/>
      <c r="N139" s="180"/>
    </row>
    <row r="140" spans="1:14" s="38" customFormat="1" x14ac:dyDescent="0.2">
      <c r="A140" s="25"/>
      <c r="B140" s="40" t="s">
        <v>168</v>
      </c>
      <c r="C140" s="64">
        <f t="shared" si="43"/>
        <v>0</v>
      </c>
      <c r="D140" s="64">
        <f t="shared" si="44"/>
        <v>0</v>
      </c>
      <c r="E140" s="64">
        <f t="shared" si="45"/>
        <v>0</v>
      </c>
      <c r="F140" s="64">
        <f t="shared" si="46"/>
        <v>0</v>
      </c>
      <c r="G140" s="54"/>
      <c r="H140" s="119"/>
      <c r="I140" s="54"/>
      <c r="J140" s="54"/>
      <c r="K140" s="54"/>
      <c r="L140" s="119"/>
      <c r="M140" s="54"/>
      <c r="N140" s="180"/>
    </row>
    <row r="141" spans="1:14" s="38" customFormat="1" x14ac:dyDescent="0.2">
      <c r="A141" s="25"/>
      <c r="B141" s="40" t="s">
        <v>169</v>
      </c>
      <c r="C141" s="64">
        <f t="shared" si="43"/>
        <v>2</v>
      </c>
      <c r="D141" s="64">
        <f t="shared" si="44"/>
        <v>120000</v>
      </c>
      <c r="E141" s="64">
        <f t="shared" si="45"/>
        <v>0</v>
      </c>
      <c r="F141" s="64">
        <f t="shared" si="46"/>
        <v>0</v>
      </c>
      <c r="G141" s="54">
        <v>2</v>
      </c>
      <c r="H141" s="119">
        <v>120000</v>
      </c>
      <c r="I141" s="54"/>
      <c r="J141" s="54"/>
      <c r="K141" s="54"/>
      <c r="L141" s="119"/>
      <c r="M141" s="54"/>
      <c r="N141" s="180"/>
    </row>
    <row r="142" spans="1:14" s="38" customFormat="1" ht="15" x14ac:dyDescent="0.25">
      <c r="A142" s="25"/>
      <c r="B142" s="40" t="s">
        <v>170</v>
      </c>
      <c r="C142" s="64">
        <f t="shared" si="43"/>
        <v>0</v>
      </c>
      <c r="D142" s="64">
        <f t="shared" si="44"/>
        <v>0</v>
      </c>
      <c r="E142" s="64">
        <f t="shared" si="45"/>
        <v>0</v>
      </c>
      <c r="F142" s="64">
        <f t="shared" si="46"/>
        <v>0</v>
      </c>
      <c r="G142" s="47"/>
      <c r="H142" s="119"/>
      <c r="I142" s="54"/>
      <c r="J142" s="54"/>
      <c r="K142" s="47"/>
      <c r="L142" s="119"/>
      <c r="M142" s="54"/>
      <c r="N142" s="180"/>
    </row>
    <row r="143" spans="1:14" s="38" customFormat="1" ht="15" x14ac:dyDescent="0.25">
      <c r="A143" s="25"/>
      <c r="B143" s="40" t="s">
        <v>277</v>
      </c>
      <c r="C143" s="64"/>
      <c r="D143" s="64"/>
      <c r="E143" s="64"/>
      <c r="F143" s="64"/>
      <c r="G143" s="47"/>
      <c r="H143" s="119"/>
      <c r="I143" s="54"/>
      <c r="J143" s="54"/>
      <c r="K143" s="47"/>
      <c r="L143" s="119"/>
      <c r="M143" s="54"/>
      <c r="N143" s="180"/>
    </row>
    <row r="144" spans="1:14" s="38" customFormat="1" ht="15" x14ac:dyDescent="0.25">
      <c r="A144" s="25"/>
      <c r="B144" s="40" t="s">
        <v>278</v>
      </c>
      <c r="C144" s="64"/>
      <c r="D144" s="64"/>
      <c r="E144" s="64"/>
      <c r="F144" s="64"/>
      <c r="G144" s="47"/>
      <c r="H144" s="119"/>
      <c r="I144" s="54"/>
      <c r="J144" s="54"/>
      <c r="K144" s="47"/>
      <c r="L144" s="119"/>
      <c r="M144" s="54"/>
      <c r="N144" s="180"/>
    </row>
    <row r="145" spans="1:14" s="38" customFormat="1" x14ac:dyDescent="0.2">
      <c r="A145" s="25"/>
      <c r="B145" s="40" t="s">
        <v>171</v>
      </c>
      <c r="C145" s="64">
        <f t="shared" si="43"/>
        <v>0</v>
      </c>
      <c r="D145" s="64">
        <f t="shared" si="44"/>
        <v>0</v>
      </c>
      <c r="E145" s="64">
        <f t="shared" si="45"/>
        <v>0</v>
      </c>
      <c r="F145" s="64">
        <f t="shared" si="46"/>
        <v>0</v>
      </c>
      <c r="G145" s="54"/>
      <c r="H145" s="119"/>
      <c r="I145" s="54"/>
      <c r="J145" s="54"/>
      <c r="K145" s="54"/>
      <c r="L145" s="119"/>
      <c r="M145" s="54"/>
      <c r="N145" s="180"/>
    </row>
    <row r="146" spans="1:14" s="38" customFormat="1" x14ac:dyDescent="0.2">
      <c r="A146" s="25"/>
      <c r="B146" s="24" t="s">
        <v>172</v>
      </c>
      <c r="C146" s="64">
        <f t="shared" si="43"/>
        <v>1</v>
      </c>
      <c r="D146" s="64">
        <f t="shared" si="44"/>
        <v>20000</v>
      </c>
      <c r="E146" s="64">
        <f t="shared" si="45"/>
        <v>0</v>
      </c>
      <c r="F146" s="64">
        <f t="shared" si="46"/>
        <v>0</v>
      </c>
      <c r="G146" s="54">
        <v>1</v>
      </c>
      <c r="H146" s="119">
        <v>20000</v>
      </c>
      <c r="I146" s="54"/>
      <c r="J146" s="54"/>
      <c r="K146" s="54"/>
      <c r="L146" s="119"/>
      <c r="M146" s="54"/>
      <c r="N146" s="180"/>
    </row>
    <row r="147" spans="1:14" s="38" customFormat="1" x14ac:dyDescent="0.2">
      <c r="A147" s="25"/>
      <c r="B147" s="40" t="s">
        <v>173</v>
      </c>
      <c r="C147" s="64">
        <f t="shared" si="43"/>
        <v>0</v>
      </c>
      <c r="D147" s="64">
        <f t="shared" si="44"/>
        <v>0</v>
      </c>
      <c r="E147" s="64">
        <f t="shared" si="45"/>
        <v>0</v>
      </c>
      <c r="F147" s="64">
        <f t="shared" si="46"/>
        <v>0</v>
      </c>
      <c r="G147" s="54"/>
      <c r="H147" s="119"/>
      <c r="I147" s="54"/>
      <c r="J147" s="54"/>
      <c r="K147" s="54"/>
      <c r="L147" s="119"/>
      <c r="M147" s="54"/>
      <c r="N147" s="180"/>
    </row>
    <row r="148" spans="1:14" s="38" customFormat="1" ht="15" x14ac:dyDescent="0.25">
      <c r="A148" s="25"/>
      <c r="B148" s="40" t="s">
        <v>174</v>
      </c>
      <c r="C148" s="64">
        <f t="shared" si="43"/>
        <v>2</v>
      </c>
      <c r="D148" s="64">
        <f t="shared" si="44"/>
        <v>7500</v>
      </c>
      <c r="E148" s="64">
        <f t="shared" si="45"/>
        <v>0</v>
      </c>
      <c r="F148" s="64">
        <f t="shared" si="46"/>
        <v>0</v>
      </c>
      <c r="G148" s="47">
        <v>2</v>
      </c>
      <c r="H148" s="119">
        <v>7500</v>
      </c>
      <c r="I148" s="54"/>
      <c r="J148" s="54"/>
      <c r="K148" s="47"/>
      <c r="L148" s="119"/>
      <c r="M148" s="54"/>
      <c r="N148" s="180"/>
    </row>
    <row r="149" spans="1:14" s="38" customFormat="1" ht="15" x14ac:dyDescent="0.25">
      <c r="A149" s="25"/>
      <c r="B149" s="40" t="s">
        <v>175</v>
      </c>
      <c r="C149" s="64">
        <f t="shared" ref="C149:F151" si="47">G149+K149</f>
        <v>3</v>
      </c>
      <c r="D149" s="64">
        <f t="shared" si="47"/>
        <v>375000</v>
      </c>
      <c r="E149" s="64">
        <f t="shared" si="47"/>
        <v>0</v>
      </c>
      <c r="F149" s="64">
        <f t="shared" si="47"/>
        <v>0</v>
      </c>
      <c r="G149" s="47">
        <v>3</v>
      </c>
      <c r="H149" s="119">
        <v>375000</v>
      </c>
      <c r="I149" s="54"/>
      <c r="J149" s="54"/>
      <c r="K149" s="47"/>
      <c r="L149" s="119"/>
      <c r="M149" s="54"/>
      <c r="N149" s="180"/>
    </row>
    <row r="150" spans="1:14" s="38" customFormat="1" ht="27.75" customHeight="1" x14ac:dyDescent="0.2">
      <c r="A150" s="25"/>
      <c r="B150" s="40" t="s">
        <v>176</v>
      </c>
      <c r="C150" s="64">
        <f t="shared" si="47"/>
        <v>0</v>
      </c>
      <c r="D150" s="64">
        <f t="shared" si="47"/>
        <v>0</v>
      </c>
      <c r="E150" s="64">
        <f t="shared" si="47"/>
        <v>0</v>
      </c>
      <c r="F150" s="64">
        <f t="shared" si="47"/>
        <v>0</v>
      </c>
      <c r="G150" s="54"/>
      <c r="H150" s="119"/>
      <c r="I150" s="54"/>
      <c r="J150" s="54"/>
      <c r="K150" s="54"/>
      <c r="L150" s="119"/>
      <c r="M150" s="54"/>
      <c r="N150" s="180"/>
    </row>
    <row r="151" spans="1:14" s="38" customFormat="1" x14ac:dyDescent="0.2">
      <c r="A151" s="25"/>
      <c r="B151" s="321" t="s">
        <v>177</v>
      </c>
      <c r="C151" s="64">
        <f t="shared" si="47"/>
        <v>200</v>
      </c>
      <c r="D151" s="64">
        <f t="shared" si="47"/>
        <v>56000</v>
      </c>
      <c r="E151" s="64">
        <f t="shared" si="47"/>
        <v>0</v>
      </c>
      <c r="F151" s="64">
        <f t="shared" si="47"/>
        <v>0</v>
      </c>
      <c r="G151" s="54">
        <v>100</v>
      </c>
      <c r="H151" s="119">
        <v>28000</v>
      </c>
      <c r="I151" s="54"/>
      <c r="J151" s="54"/>
      <c r="K151" s="54">
        <v>100</v>
      </c>
      <c r="L151" s="119">
        <v>28000</v>
      </c>
      <c r="M151" s="54"/>
      <c r="N151" s="180"/>
    </row>
    <row r="152" spans="1:14" s="38" customFormat="1" x14ac:dyDescent="0.2">
      <c r="A152" s="25"/>
      <c r="B152" s="144" t="s">
        <v>178</v>
      </c>
      <c r="C152" s="64"/>
      <c r="D152" s="64"/>
      <c r="E152" s="64"/>
      <c r="F152" s="64"/>
      <c r="G152" s="54"/>
      <c r="H152" s="119"/>
      <c r="I152" s="54"/>
      <c r="J152" s="54"/>
      <c r="K152" s="54"/>
      <c r="L152" s="119"/>
      <c r="M152" s="54"/>
      <c r="N152" s="180"/>
    </row>
    <row r="153" spans="1:14" s="38" customFormat="1" x14ac:dyDescent="0.2">
      <c r="A153" s="25"/>
      <c r="B153" s="319" t="s">
        <v>179</v>
      </c>
      <c r="C153" s="64">
        <f t="shared" ref="C153:F154" si="48">G153+K153</f>
        <v>0</v>
      </c>
      <c r="D153" s="64">
        <f t="shared" si="48"/>
        <v>0</v>
      </c>
      <c r="E153" s="64">
        <f t="shared" si="48"/>
        <v>0</v>
      </c>
      <c r="F153" s="64">
        <f t="shared" si="48"/>
        <v>0</v>
      </c>
      <c r="G153" s="54"/>
      <c r="H153" s="119"/>
      <c r="I153" s="54"/>
      <c r="J153" s="54"/>
      <c r="K153" s="54"/>
      <c r="L153" s="119"/>
      <c r="M153" s="54"/>
      <c r="N153" s="180"/>
    </row>
    <row r="154" spans="1:14" s="38" customFormat="1" ht="25.5" x14ac:dyDescent="0.2">
      <c r="A154" s="25"/>
      <c r="B154" s="24" t="s">
        <v>180</v>
      </c>
      <c r="C154" s="64">
        <f t="shared" si="48"/>
        <v>0</v>
      </c>
      <c r="D154" s="64">
        <f t="shared" si="48"/>
        <v>0</v>
      </c>
      <c r="E154" s="64">
        <f t="shared" si="48"/>
        <v>0</v>
      </c>
      <c r="F154" s="64">
        <f t="shared" si="48"/>
        <v>0</v>
      </c>
      <c r="G154" s="54"/>
      <c r="H154" s="119"/>
      <c r="I154" s="54"/>
      <c r="J154" s="54"/>
      <c r="K154" s="54"/>
      <c r="L154" s="119"/>
      <c r="M154" s="54"/>
      <c r="N154" s="180"/>
    </row>
    <row r="155" spans="1:14" s="38" customFormat="1" x14ac:dyDescent="0.2">
      <c r="A155" s="25"/>
      <c r="B155" s="24" t="s">
        <v>181</v>
      </c>
      <c r="C155" s="64"/>
      <c r="D155" s="64"/>
      <c r="E155" s="64"/>
      <c r="F155" s="64"/>
      <c r="G155" s="54"/>
      <c r="H155" s="119"/>
      <c r="I155" s="54"/>
      <c r="J155" s="54"/>
      <c r="K155" s="54"/>
      <c r="L155" s="119"/>
      <c r="M155" s="54"/>
      <c r="N155" s="180"/>
    </row>
    <row r="156" spans="1:14" s="38" customFormat="1" ht="25.5" x14ac:dyDescent="0.2">
      <c r="A156" s="25"/>
      <c r="B156" s="24" t="s">
        <v>182</v>
      </c>
      <c r="C156" s="64">
        <f>G156+K156</f>
        <v>0</v>
      </c>
      <c r="D156" s="64">
        <f>H156+L156</f>
        <v>0</v>
      </c>
      <c r="E156" s="64">
        <f>I156+M156</f>
        <v>0</v>
      </c>
      <c r="F156" s="64">
        <f>J156+N156</f>
        <v>0</v>
      </c>
      <c r="G156" s="54"/>
      <c r="H156" s="119"/>
      <c r="I156" s="54"/>
      <c r="J156" s="54"/>
      <c r="K156" s="54"/>
      <c r="L156" s="119"/>
      <c r="M156" s="54"/>
      <c r="N156" s="180"/>
    </row>
    <row r="157" spans="1:14" s="38" customFormat="1" x14ac:dyDescent="0.2">
      <c r="A157" s="25"/>
      <c r="B157" s="24" t="s">
        <v>183</v>
      </c>
      <c r="C157" s="64">
        <f t="shared" ref="C157:C162" si="49">G157+K157</f>
        <v>0</v>
      </c>
      <c r="D157" s="64">
        <f t="shared" ref="D157:F162" si="50">H157+L157</f>
        <v>0</v>
      </c>
      <c r="E157" s="64">
        <f t="shared" si="50"/>
        <v>0</v>
      </c>
      <c r="F157" s="64">
        <f t="shared" si="50"/>
        <v>0</v>
      </c>
      <c r="G157" s="54"/>
      <c r="H157" s="119"/>
      <c r="I157" s="54"/>
      <c r="J157" s="54"/>
      <c r="K157" s="54"/>
      <c r="L157" s="119"/>
      <c r="M157" s="54"/>
      <c r="N157" s="180"/>
    </row>
    <row r="158" spans="1:14" s="38" customFormat="1" x14ac:dyDescent="0.2">
      <c r="A158" s="25"/>
      <c r="B158" s="24" t="s">
        <v>184</v>
      </c>
      <c r="C158" s="64">
        <f t="shared" si="49"/>
        <v>0</v>
      </c>
      <c r="D158" s="64">
        <f t="shared" si="50"/>
        <v>0</v>
      </c>
      <c r="E158" s="64">
        <f t="shared" si="50"/>
        <v>0</v>
      </c>
      <c r="F158" s="64">
        <f t="shared" si="50"/>
        <v>0</v>
      </c>
      <c r="G158" s="54"/>
      <c r="H158" s="119"/>
      <c r="I158" s="54"/>
      <c r="J158" s="54"/>
      <c r="K158" s="54"/>
      <c r="L158" s="119"/>
      <c r="M158" s="54"/>
      <c r="N158" s="180"/>
    </row>
    <row r="159" spans="1:14" s="38" customFormat="1" ht="25.5" x14ac:dyDescent="0.2">
      <c r="A159" s="25"/>
      <c r="B159" s="24" t="s">
        <v>185</v>
      </c>
      <c r="C159" s="64">
        <f t="shared" si="49"/>
        <v>0</v>
      </c>
      <c r="D159" s="64">
        <f t="shared" si="50"/>
        <v>0</v>
      </c>
      <c r="E159" s="64">
        <f t="shared" si="50"/>
        <v>0</v>
      </c>
      <c r="F159" s="64">
        <f t="shared" si="50"/>
        <v>0</v>
      </c>
      <c r="G159" s="54"/>
      <c r="H159" s="119"/>
      <c r="I159" s="54"/>
      <c r="J159" s="54"/>
      <c r="K159" s="54"/>
      <c r="L159" s="119"/>
      <c r="M159" s="54"/>
      <c r="N159" s="180"/>
    </row>
    <row r="160" spans="1:14" s="38" customFormat="1" x14ac:dyDescent="0.2">
      <c r="A160" s="25"/>
      <c r="B160" s="319" t="s">
        <v>186</v>
      </c>
      <c r="C160" s="64">
        <f t="shared" si="49"/>
        <v>0</v>
      </c>
      <c r="D160" s="64">
        <f t="shared" si="50"/>
        <v>0</v>
      </c>
      <c r="E160" s="64">
        <f t="shared" si="50"/>
        <v>0</v>
      </c>
      <c r="F160" s="64">
        <f t="shared" si="50"/>
        <v>0</v>
      </c>
      <c r="G160" s="54"/>
      <c r="H160" s="119"/>
      <c r="I160" s="54"/>
      <c r="J160" s="54"/>
      <c r="K160" s="54"/>
      <c r="L160" s="119"/>
      <c r="M160" s="54"/>
      <c r="N160" s="180"/>
    </row>
    <row r="161" spans="1:15" s="38" customFormat="1" ht="25.5" x14ac:dyDescent="0.2">
      <c r="A161" s="25"/>
      <c r="B161" s="24" t="s">
        <v>187</v>
      </c>
      <c r="C161" s="64">
        <f t="shared" si="49"/>
        <v>0</v>
      </c>
      <c r="D161" s="64">
        <f t="shared" si="50"/>
        <v>0</v>
      </c>
      <c r="E161" s="64">
        <f t="shared" si="50"/>
        <v>0</v>
      </c>
      <c r="F161" s="64">
        <f t="shared" si="50"/>
        <v>0</v>
      </c>
      <c r="G161" s="54"/>
      <c r="H161" s="119"/>
      <c r="I161" s="54"/>
      <c r="J161" s="54"/>
      <c r="K161" s="54"/>
      <c r="L161" s="119"/>
      <c r="M161" s="54"/>
      <c r="N161" s="180"/>
    </row>
    <row r="162" spans="1:15" s="38" customFormat="1" x14ac:dyDescent="0.2">
      <c r="A162" s="25"/>
      <c r="B162" s="24" t="s">
        <v>188</v>
      </c>
      <c r="C162" s="64">
        <f t="shared" si="49"/>
        <v>0</v>
      </c>
      <c r="D162" s="64">
        <f t="shared" si="50"/>
        <v>0</v>
      </c>
      <c r="E162" s="64">
        <f t="shared" si="50"/>
        <v>0</v>
      </c>
      <c r="F162" s="64">
        <f t="shared" si="50"/>
        <v>0</v>
      </c>
      <c r="G162" s="54"/>
      <c r="H162" s="119"/>
      <c r="I162" s="54"/>
      <c r="J162" s="54"/>
      <c r="K162" s="54"/>
      <c r="L162" s="119"/>
      <c r="M162" s="54"/>
      <c r="N162" s="180"/>
    </row>
    <row r="163" spans="1:15" s="38" customFormat="1" x14ac:dyDescent="0.2">
      <c r="A163" s="25"/>
      <c r="B163" s="24" t="s">
        <v>189</v>
      </c>
      <c r="C163" s="64"/>
      <c r="D163" s="64"/>
      <c r="E163" s="64"/>
      <c r="F163" s="64"/>
      <c r="G163" s="54"/>
      <c r="H163" s="119"/>
      <c r="I163" s="54"/>
      <c r="J163" s="54"/>
      <c r="K163" s="54"/>
      <c r="L163" s="119"/>
      <c r="M163" s="54"/>
      <c r="N163" s="180"/>
    </row>
    <row r="164" spans="1:15" s="38" customFormat="1" x14ac:dyDescent="0.2">
      <c r="A164" s="25"/>
      <c r="B164" s="40" t="s">
        <v>190</v>
      </c>
      <c r="C164" s="64">
        <f t="shared" si="43"/>
        <v>0</v>
      </c>
      <c r="D164" s="64">
        <f t="shared" si="44"/>
        <v>0</v>
      </c>
      <c r="E164" s="64">
        <f t="shared" si="45"/>
        <v>0</v>
      </c>
      <c r="F164" s="64">
        <f t="shared" si="46"/>
        <v>0</v>
      </c>
      <c r="G164" s="54"/>
      <c r="H164" s="119"/>
      <c r="I164" s="54"/>
      <c r="J164" s="54"/>
      <c r="K164" s="54"/>
      <c r="L164" s="119"/>
      <c r="M164" s="54"/>
      <c r="N164" s="180"/>
    </row>
    <row r="165" spans="1:15" s="38" customFormat="1" ht="15.75" thickBot="1" x14ac:dyDescent="0.3">
      <c r="A165" s="25"/>
      <c r="B165" s="24" t="s">
        <v>191</v>
      </c>
      <c r="C165" s="64">
        <f t="shared" si="43"/>
        <v>1</v>
      </c>
      <c r="D165" s="64">
        <f t="shared" si="44"/>
        <v>10000</v>
      </c>
      <c r="E165" s="64">
        <f t="shared" si="45"/>
        <v>0</v>
      </c>
      <c r="F165" s="64">
        <f t="shared" si="46"/>
        <v>0</v>
      </c>
      <c r="G165" s="47">
        <v>1</v>
      </c>
      <c r="H165" s="119">
        <v>10000</v>
      </c>
      <c r="I165" s="54"/>
      <c r="J165" s="54"/>
      <c r="K165" s="54"/>
      <c r="L165" s="119"/>
      <c r="M165" s="54"/>
      <c r="N165" s="180"/>
    </row>
    <row r="166" spans="1:15" ht="13.5" thickBot="1" x14ac:dyDescent="0.25">
      <c r="A166" s="108"/>
      <c r="B166" s="169" t="s">
        <v>161</v>
      </c>
      <c r="C166" s="170">
        <f t="shared" ref="C166:N166" si="51">SUM(C135:C165)</f>
        <v>248</v>
      </c>
      <c r="D166" s="170">
        <f t="shared" si="51"/>
        <v>3206500</v>
      </c>
      <c r="E166" s="170">
        <f t="shared" si="51"/>
        <v>0</v>
      </c>
      <c r="F166" s="170">
        <f t="shared" si="51"/>
        <v>0</v>
      </c>
      <c r="G166" s="170">
        <f t="shared" si="51"/>
        <v>133</v>
      </c>
      <c r="H166" s="170">
        <f t="shared" si="51"/>
        <v>2483500</v>
      </c>
      <c r="I166" s="170">
        <f t="shared" si="51"/>
        <v>0</v>
      </c>
      <c r="J166" s="170">
        <f t="shared" si="51"/>
        <v>0</v>
      </c>
      <c r="K166" s="170">
        <f t="shared" si="51"/>
        <v>115</v>
      </c>
      <c r="L166" s="170">
        <f t="shared" si="51"/>
        <v>723000</v>
      </c>
      <c r="M166" s="170">
        <f t="shared" si="51"/>
        <v>0</v>
      </c>
      <c r="N166" s="170">
        <f t="shared" si="51"/>
        <v>0</v>
      </c>
      <c r="O166" s="294"/>
    </row>
    <row r="167" spans="1:15" s="38" customFormat="1" ht="13.5" thickBot="1" x14ac:dyDescent="0.25">
      <c r="A167" s="262"/>
      <c r="B167" s="295"/>
      <c r="C167" s="66"/>
      <c r="D167" s="212"/>
      <c r="E167" s="66"/>
      <c r="F167" s="66"/>
      <c r="G167" s="68"/>
      <c r="H167" s="288"/>
      <c r="I167" s="67"/>
      <c r="J167" s="68"/>
      <c r="K167" s="68"/>
      <c r="L167" s="288"/>
      <c r="M167" s="67"/>
      <c r="N167" s="68"/>
    </row>
    <row r="168" spans="1:15" ht="16.5" thickBot="1" x14ac:dyDescent="0.3">
      <c r="A168" s="148"/>
      <c r="B168" s="149" t="s">
        <v>162</v>
      </c>
      <c r="C168" s="150">
        <f t="shared" ref="C168:N168" si="52">C10+C48+C60+C73+C77+C92+C133+C166</f>
        <v>584</v>
      </c>
      <c r="D168" s="150">
        <f t="shared" si="52"/>
        <v>9332100</v>
      </c>
      <c r="E168" s="150">
        <f t="shared" si="52"/>
        <v>0</v>
      </c>
      <c r="F168" s="150">
        <f t="shared" si="52"/>
        <v>0</v>
      </c>
      <c r="G168" s="150">
        <f t="shared" si="52"/>
        <v>327</v>
      </c>
      <c r="H168" s="150">
        <f t="shared" si="52"/>
        <v>6929600</v>
      </c>
      <c r="I168" s="150">
        <f t="shared" si="52"/>
        <v>0</v>
      </c>
      <c r="J168" s="150">
        <f t="shared" si="52"/>
        <v>0</v>
      </c>
      <c r="K168" s="150">
        <f t="shared" si="52"/>
        <v>257</v>
      </c>
      <c r="L168" s="150">
        <f t="shared" si="52"/>
        <v>2402500</v>
      </c>
      <c r="M168" s="150">
        <f t="shared" si="52"/>
        <v>0</v>
      </c>
      <c r="N168" s="150">
        <f t="shared" si="52"/>
        <v>0</v>
      </c>
    </row>
    <row r="182" s="5" customFormat="1" x14ac:dyDescent="0.2"/>
    <row r="183" s="5" customFormat="1" x14ac:dyDescent="0.2"/>
  </sheetData>
  <mergeCells count="10">
    <mergeCell ref="E3:F3"/>
    <mergeCell ref="C3:D3"/>
    <mergeCell ref="G3:J3"/>
    <mergeCell ref="K3:N3"/>
    <mergeCell ref="C4:D4"/>
    <mergeCell ref="E4:F4"/>
    <mergeCell ref="G4:H4"/>
    <mergeCell ref="I4:J4"/>
    <mergeCell ref="K4:L4"/>
    <mergeCell ref="M4:N4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O183"/>
  <sheetViews>
    <sheetView zoomScale="110" zoomScaleNormal="110" workbookViewId="0">
      <pane xSplit="2" ySplit="5" topLeftCell="C132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8" style="11" customWidth="1"/>
    <col min="2" max="2" width="53.42578125" style="9" customWidth="1"/>
    <col min="3" max="3" width="10.7109375" style="12" customWidth="1"/>
    <col min="4" max="4" width="14" style="13" customWidth="1"/>
    <col min="5" max="5" width="9.28515625" style="5" customWidth="1"/>
    <col min="6" max="6" width="10.85546875" style="5" customWidth="1"/>
    <col min="7" max="7" width="9.28515625" style="12" customWidth="1"/>
    <col min="8" max="8" width="13.28515625" style="13" customWidth="1"/>
    <col min="9" max="9" width="10.140625" style="5" customWidth="1"/>
    <col min="10" max="10" width="13.42578125" style="5" customWidth="1"/>
    <col min="11" max="11" width="10.5703125" style="12" customWidth="1"/>
    <col min="12" max="12" width="12.5703125" style="13" customWidth="1"/>
    <col min="13" max="13" width="10.140625" style="5" customWidth="1"/>
    <col min="14" max="14" width="13.28515625" style="5" customWidth="1"/>
    <col min="15" max="16384" width="9.140625" style="5"/>
  </cols>
  <sheetData>
    <row r="1" spans="1:15" ht="14.45" customHeight="1" x14ac:dyDescent="0.2">
      <c r="A1" s="1"/>
      <c r="B1" s="14" t="s">
        <v>55</v>
      </c>
      <c r="C1" s="4"/>
      <c r="D1" s="3"/>
      <c r="G1" s="4"/>
      <c r="H1" s="3"/>
      <c r="K1" s="4"/>
      <c r="L1" s="3"/>
    </row>
    <row r="2" spans="1:15" ht="14.45" customHeight="1" thickBot="1" x14ac:dyDescent="0.25">
      <c r="A2" s="1"/>
      <c r="B2" s="2"/>
      <c r="C2" s="4"/>
      <c r="D2" s="3"/>
      <c r="F2" s="17" t="s">
        <v>236</v>
      </c>
      <c r="G2" s="4"/>
      <c r="H2" s="3"/>
      <c r="J2" s="17" t="s">
        <v>236</v>
      </c>
      <c r="K2" s="4"/>
      <c r="L2" s="3"/>
      <c r="N2" s="17" t="s">
        <v>236</v>
      </c>
    </row>
    <row r="3" spans="1:15" s="6" customFormat="1" ht="19.5" customHeight="1" thickBot="1" x14ac:dyDescent="0.3">
      <c r="A3" s="70"/>
      <c r="B3" s="71"/>
      <c r="C3" s="413" t="s">
        <v>56</v>
      </c>
      <c r="D3" s="415"/>
      <c r="E3" s="421" t="s">
        <v>56</v>
      </c>
      <c r="F3" s="420"/>
      <c r="G3" s="413" t="s">
        <v>250</v>
      </c>
      <c r="H3" s="414"/>
      <c r="I3" s="414"/>
      <c r="J3" s="415"/>
      <c r="K3" s="413" t="s">
        <v>251</v>
      </c>
      <c r="L3" s="414"/>
      <c r="M3" s="414"/>
      <c r="N3" s="415"/>
      <c r="O3" s="6" t="s">
        <v>60</v>
      </c>
    </row>
    <row r="4" spans="1:15" s="6" customFormat="1" ht="35.25" customHeight="1" thickBot="1" x14ac:dyDescent="0.3">
      <c r="A4" s="70"/>
      <c r="B4" s="85"/>
      <c r="C4" s="405" t="s">
        <v>235</v>
      </c>
      <c r="D4" s="406"/>
      <c r="E4" s="411" t="s">
        <v>59</v>
      </c>
      <c r="F4" s="412"/>
      <c r="G4" s="405" t="s">
        <v>235</v>
      </c>
      <c r="H4" s="406"/>
      <c r="I4" s="411" t="s">
        <v>59</v>
      </c>
      <c r="J4" s="412"/>
      <c r="K4" s="405" t="s">
        <v>235</v>
      </c>
      <c r="L4" s="406"/>
      <c r="M4" s="411" t="s">
        <v>59</v>
      </c>
      <c r="N4" s="412"/>
    </row>
    <row r="5" spans="1:15" s="7" customFormat="1" ht="35.25" customHeight="1" thickBot="1" x14ac:dyDescent="0.25">
      <c r="A5" s="257" t="s">
        <v>62</v>
      </c>
      <c r="B5" s="279" t="s">
        <v>63</v>
      </c>
      <c r="C5" s="229" t="s">
        <v>57</v>
      </c>
      <c r="D5" s="229" t="s">
        <v>58</v>
      </c>
      <c r="E5" s="229" t="s">
        <v>57</v>
      </c>
      <c r="F5" s="229" t="s">
        <v>58</v>
      </c>
      <c r="G5" s="280" t="s">
        <v>0</v>
      </c>
      <c r="H5" s="280" t="s">
        <v>1</v>
      </c>
      <c r="I5" s="280" t="s">
        <v>0</v>
      </c>
      <c r="J5" s="280" t="s">
        <v>12</v>
      </c>
      <c r="K5" s="280" t="s">
        <v>0</v>
      </c>
      <c r="L5" s="280" t="s">
        <v>1</v>
      </c>
      <c r="M5" s="280" t="s">
        <v>0</v>
      </c>
      <c r="N5" s="229" t="s">
        <v>12</v>
      </c>
    </row>
    <row r="6" spans="1:15" s="9" customFormat="1" x14ac:dyDescent="0.2">
      <c r="A6" s="175" t="s">
        <v>2</v>
      </c>
      <c r="B6" s="176" t="s">
        <v>3</v>
      </c>
      <c r="C6" s="177"/>
      <c r="D6" s="178"/>
      <c r="E6" s="177"/>
      <c r="F6" s="177"/>
      <c r="G6" s="177"/>
      <c r="H6" s="177"/>
      <c r="I6" s="177"/>
      <c r="J6" s="177"/>
      <c r="K6" s="177"/>
      <c r="L6" s="177"/>
      <c r="M6" s="177"/>
      <c r="N6" s="179"/>
    </row>
    <row r="7" spans="1:15" x14ac:dyDescent="0.2">
      <c r="A7" s="25"/>
      <c r="B7" s="48" t="s">
        <v>18</v>
      </c>
      <c r="C7" s="64">
        <f>G7+K7</f>
        <v>0</v>
      </c>
      <c r="D7" s="64">
        <f>H7+L7</f>
        <v>0</v>
      </c>
      <c r="E7" s="64">
        <f>I7+M7</f>
        <v>0</v>
      </c>
      <c r="F7" s="64">
        <f>J7+N7</f>
        <v>0</v>
      </c>
      <c r="G7" s="54"/>
      <c r="H7" s="119"/>
      <c r="I7" s="54"/>
      <c r="J7" s="54"/>
      <c r="K7" s="54"/>
      <c r="L7" s="119"/>
      <c r="M7" s="54"/>
      <c r="N7" s="180"/>
    </row>
    <row r="8" spans="1:15" ht="15" x14ac:dyDescent="0.25">
      <c r="A8" s="25"/>
      <c r="B8" s="48" t="s">
        <v>4</v>
      </c>
      <c r="C8" s="64">
        <f t="shared" ref="C8:C9" si="0">G8+K8</f>
        <v>2</v>
      </c>
      <c r="D8" s="64">
        <f t="shared" ref="D8:D9" si="1">H8+L8</f>
        <v>180000</v>
      </c>
      <c r="E8" s="64">
        <f t="shared" ref="E8:E9" si="2">I8+M8</f>
        <v>0</v>
      </c>
      <c r="F8" s="64">
        <f t="shared" ref="F8:F9" si="3">J8+N8</f>
        <v>0</v>
      </c>
      <c r="G8" s="47">
        <v>1</v>
      </c>
      <c r="H8" s="119">
        <v>90000</v>
      </c>
      <c r="I8" s="54"/>
      <c r="J8" s="54"/>
      <c r="K8" s="54">
        <f>1</f>
        <v>1</v>
      </c>
      <c r="L8" s="119">
        <v>90000</v>
      </c>
      <c r="M8" s="54"/>
      <c r="N8" s="180"/>
    </row>
    <row r="9" spans="1:15" x14ac:dyDescent="0.2">
      <c r="A9" s="25"/>
      <c r="B9" s="48" t="s">
        <v>17</v>
      </c>
      <c r="C9" s="64">
        <f t="shared" si="0"/>
        <v>0</v>
      </c>
      <c r="D9" s="64">
        <f t="shared" si="1"/>
        <v>0</v>
      </c>
      <c r="E9" s="64">
        <f t="shared" si="2"/>
        <v>0</v>
      </c>
      <c r="F9" s="64">
        <f t="shared" si="3"/>
        <v>0</v>
      </c>
      <c r="G9" s="54"/>
      <c r="H9" s="119"/>
      <c r="I9" s="54"/>
      <c r="J9" s="54"/>
      <c r="K9" s="54"/>
      <c r="L9" s="119"/>
      <c r="M9" s="54"/>
      <c r="N9" s="180"/>
    </row>
    <row r="10" spans="1:15" s="9" customFormat="1" x14ac:dyDescent="0.2">
      <c r="A10" s="25"/>
      <c r="B10" s="48" t="s">
        <v>15</v>
      </c>
      <c r="C10" s="64">
        <f>G10+K10+O10</f>
        <v>1</v>
      </c>
      <c r="D10" s="64">
        <f>H10+L10+P10</f>
        <v>260000</v>
      </c>
      <c r="E10" s="64">
        <v>0</v>
      </c>
      <c r="F10" s="64">
        <v>0</v>
      </c>
      <c r="G10" s="58">
        <v>1</v>
      </c>
      <c r="H10" s="119">
        <v>260000</v>
      </c>
      <c r="I10" s="58"/>
      <c r="J10" s="58"/>
      <c r="K10" s="58"/>
      <c r="L10" s="119"/>
      <c r="M10" s="58"/>
      <c r="N10" s="281"/>
    </row>
    <row r="11" spans="1:15" s="9" customFormat="1" ht="13.5" thickBot="1" x14ac:dyDescent="0.25">
      <c r="A11" s="187"/>
      <c r="B11" s="188" t="s">
        <v>16</v>
      </c>
      <c r="C11" s="241">
        <f>G11+K11+O11</f>
        <v>1</v>
      </c>
      <c r="D11" s="241">
        <f>H11+L11+P11</f>
        <v>200000</v>
      </c>
      <c r="E11" s="241">
        <v>0</v>
      </c>
      <c r="F11" s="241">
        <v>0</v>
      </c>
      <c r="G11" s="190"/>
      <c r="H11" s="189"/>
      <c r="I11" s="190"/>
      <c r="J11" s="190"/>
      <c r="K11" s="190">
        <v>1</v>
      </c>
      <c r="L11" s="189">
        <v>200000</v>
      </c>
      <c r="M11" s="190"/>
      <c r="N11" s="296"/>
    </row>
    <row r="12" spans="1:15" s="9" customFormat="1" ht="13.5" thickBot="1" x14ac:dyDescent="0.25">
      <c r="A12" s="171"/>
      <c r="B12" s="273" t="s">
        <v>155</v>
      </c>
      <c r="C12" s="297">
        <f t="shared" ref="C12:N12" si="4">SUM(C7:C11)</f>
        <v>4</v>
      </c>
      <c r="D12" s="297">
        <f t="shared" si="4"/>
        <v>640000</v>
      </c>
      <c r="E12" s="297">
        <f t="shared" si="4"/>
        <v>0</v>
      </c>
      <c r="F12" s="297">
        <f t="shared" si="4"/>
        <v>0</v>
      </c>
      <c r="G12" s="297">
        <f t="shared" si="4"/>
        <v>2</v>
      </c>
      <c r="H12" s="297">
        <f t="shared" si="4"/>
        <v>350000</v>
      </c>
      <c r="I12" s="297">
        <f t="shared" si="4"/>
        <v>0</v>
      </c>
      <c r="J12" s="297">
        <f t="shared" si="4"/>
        <v>0</v>
      </c>
      <c r="K12" s="297">
        <f t="shared" si="4"/>
        <v>2</v>
      </c>
      <c r="L12" s="297">
        <f t="shared" si="4"/>
        <v>290000</v>
      </c>
      <c r="M12" s="297">
        <f t="shared" si="4"/>
        <v>0</v>
      </c>
      <c r="N12" s="297">
        <f t="shared" si="4"/>
        <v>0</v>
      </c>
    </row>
    <row r="13" spans="1:15" s="52" customFormat="1" x14ac:dyDescent="0.2">
      <c r="A13" s="175" t="s">
        <v>5</v>
      </c>
      <c r="B13" s="176" t="s">
        <v>89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7"/>
    </row>
    <row r="14" spans="1:15" s="52" customFormat="1" ht="15" x14ac:dyDescent="0.25">
      <c r="A14" s="25"/>
      <c r="B14" s="209" t="s">
        <v>19</v>
      </c>
      <c r="C14" s="64">
        <f>G14+K14</f>
        <v>3</v>
      </c>
      <c r="D14" s="64">
        <f>H14+L14</f>
        <v>9000</v>
      </c>
      <c r="E14" s="64">
        <f>I14+M14</f>
        <v>0</v>
      </c>
      <c r="F14" s="64">
        <f>J14+N14</f>
        <v>0</v>
      </c>
      <c r="G14" s="47">
        <f>1</f>
        <v>1</v>
      </c>
      <c r="H14" s="119">
        <f>3000*G14</f>
        <v>3000</v>
      </c>
      <c r="I14" s="54"/>
      <c r="J14" s="54"/>
      <c r="K14" s="54">
        <f>2</f>
        <v>2</v>
      </c>
      <c r="L14" s="119">
        <f>3000*K14</f>
        <v>6000</v>
      </c>
      <c r="M14" s="54"/>
      <c r="N14" s="180"/>
    </row>
    <row r="15" spans="1:15" s="52" customFormat="1" x14ac:dyDescent="0.2">
      <c r="A15" s="25"/>
      <c r="B15" s="209" t="s">
        <v>20</v>
      </c>
      <c r="C15" s="64">
        <f t="shared" ref="C15:C47" si="5">G15+K15</f>
        <v>0</v>
      </c>
      <c r="D15" s="64">
        <f>H15+L15</f>
        <v>0</v>
      </c>
      <c r="E15" s="64">
        <f>I15+M15</f>
        <v>0</v>
      </c>
      <c r="F15" s="64">
        <f t="shared" ref="F15:F47" si="6">J15+N15</f>
        <v>0</v>
      </c>
      <c r="G15" s="54"/>
      <c r="H15" s="119"/>
      <c r="I15" s="54"/>
      <c r="J15" s="54"/>
      <c r="K15" s="54"/>
      <c r="L15" s="119"/>
      <c r="M15" s="54"/>
      <c r="N15" s="180"/>
    </row>
    <row r="16" spans="1:15" s="52" customFormat="1" x14ac:dyDescent="0.2">
      <c r="A16" s="25"/>
      <c r="B16" s="318" t="s">
        <v>21</v>
      </c>
      <c r="C16" s="64">
        <f t="shared" si="5"/>
        <v>3</v>
      </c>
      <c r="D16" s="64">
        <f t="shared" ref="D16:D47" si="7">H16+L16</f>
        <v>13500</v>
      </c>
      <c r="E16" s="64">
        <f t="shared" ref="E16:E47" si="8">I16+M16</f>
        <v>0</v>
      </c>
      <c r="F16" s="64">
        <f t="shared" si="6"/>
        <v>0</v>
      </c>
      <c r="G16" s="54">
        <v>3</v>
      </c>
      <c r="H16" s="119">
        <f>4500*G16</f>
        <v>13500</v>
      </c>
      <c r="I16" s="54"/>
      <c r="J16" s="54"/>
      <c r="K16" s="54"/>
      <c r="L16" s="119"/>
      <c r="M16" s="54"/>
      <c r="N16" s="180"/>
    </row>
    <row r="17" spans="1:14" s="52" customFormat="1" x14ac:dyDescent="0.2">
      <c r="A17" s="25"/>
      <c r="B17" s="318" t="s">
        <v>23</v>
      </c>
      <c r="C17" s="64">
        <f>G17+K17</f>
        <v>0</v>
      </c>
      <c r="D17" s="64">
        <f>H17+L17</f>
        <v>0</v>
      </c>
      <c r="E17" s="64">
        <f>I17+M17</f>
        <v>0</v>
      </c>
      <c r="F17" s="64">
        <f>J17+N17</f>
        <v>0</v>
      </c>
      <c r="G17" s="54"/>
      <c r="H17" s="119"/>
      <c r="I17" s="54"/>
      <c r="J17" s="54"/>
      <c r="K17" s="54"/>
      <c r="L17" s="119"/>
      <c r="M17" s="54"/>
      <c r="N17" s="180"/>
    </row>
    <row r="18" spans="1:14" s="38" customFormat="1" x14ac:dyDescent="0.2">
      <c r="A18" s="25"/>
      <c r="B18" s="318" t="s">
        <v>24</v>
      </c>
      <c r="C18" s="64">
        <f>G18+K18</f>
        <v>0</v>
      </c>
      <c r="D18" s="64">
        <f t="shared" si="7"/>
        <v>0</v>
      </c>
      <c r="E18" s="64">
        <f t="shared" si="8"/>
        <v>0</v>
      </c>
      <c r="F18" s="64">
        <f t="shared" si="6"/>
        <v>0</v>
      </c>
      <c r="G18" s="54"/>
      <c r="H18" s="119"/>
      <c r="I18" s="54"/>
      <c r="J18" s="54"/>
      <c r="K18" s="54"/>
      <c r="L18" s="119"/>
      <c r="M18" s="54"/>
      <c r="N18" s="180"/>
    </row>
    <row r="19" spans="1:14" s="38" customFormat="1" ht="15" x14ac:dyDescent="0.25">
      <c r="A19" s="25"/>
      <c r="B19" s="48" t="s">
        <v>25</v>
      </c>
      <c r="C19" s="64">
        <f t="shared" si="5"/>
        <v>0</v>
      </c>
      <c r="D19" s="64">
        <f t="shared" si="7"/>
        <v>0</v>
      </c>
      <c r="E19" s="64">
        <f t="shared" si="8"/>
        <v>0</v>
      </c>
      <c r="F19" s="64">
        <f t="shared" si="6"/>
        <v>0</v>
      </c>
      <c r="G19" s="47"/>
      <c r="H19" s="119"/>
      <c r="I19" s="54"/>
      <c r="J19" s="54"/>
      <c r="K19" s="54"/>
      <c r="L19" s="119"/>
      <c r="M19" s="54"/>
      <c r="N19" s="180"/>
    </row>
    <row r="20" spans="1:14" s="38" customFormat="1" x14ac:dyDescent="0.2">
      <c r="A20" s="25"/>
      <c r="B20" s="209" t="s">
        <v>26</v>
      </c>
      <c r="C20" s="64">
        <f t="shared" si="5"/>
        <v>0</v>
      </c>
      <c r="D20" s="64">
        <f t="shared" si="7"/>
        <v>0</v>
      </c>
      <c r="E20" s="64">
        <f t="shared" si="8"/>
        <v>0</v>
      </c>
      <c r="F20" s="64">
        <f t="shared" si="6"/>
        <v>0</v>
      </c>
      <c r="G20" s="54"/>
      <c r="H20" s="119"/>
      <c r="I20" s="54"/>
      <c r="J20" s="54"/>
      <c r="K20" s="54"/>
      <c r="L20" s="119"/>
      <c r="M20" s="54"/>
      <c r="N20" s="180"/>
    </row>
    <row r="21" spans="1:14" s="38" customFormat="1" x14ac:dyDescent="0.2">
      <c r="A21" s="25"/>
      <c r="B21" s="209" t="s">
        <v>27</v>
      </c>
      <c r="C21" s="64">
        <f t="shared" si="5"/>
        <v>6</v>
      </c>
      <c r="D21" s="64">
        <f t="shared" si="7"/>
        <v>9000</v>
      </c>
      <c r="E21" s="64">
        <f t="shared" si="8"/>
        <v>0</v>
      </c>
      <c r="F21" s="64">
        <f t="shared" si="6"/>
        <v>0</v>
      </c>
      <c r="G21" s="54">
        <v>6</v>
      </c>
      <c r="H21" s="119">
        <f>1500*G21</f>
        <v>9000</v>
      </c>
      <c r="I21" s="54"/>
      <c r="J21" s="54"/>
      <c r="K21" s="54"/>
      <c r="L21" s="119"/>
      <c r="M21" s="54"/>
      <c r="N21" s="180"/>
    </row>
    <row r="22" spans="1:14" s="38" customFormat="1" x14ac:dyDescent="0.2">
      <c r="A22" s="25"/>
      <c r="B22" s="48" t="s">
        <v>28</v>
      </c>
      <c r="C22" s="64">
        <f>G22+K22</f>
        <v>8</v>
      </c>
      <c r="D22" s="64">
        <f>H22+L22</f>
        <v>32000</v>
      </c>
      <c r="E22" s="64">
        <f t="shared" si="8"/>
        <v>0</v>
      </c>
      <c r="F22" s="64">
        <f t="shared" si="6"/>
        <v>0</v>
      </c>
      <c r="G22" s="54">
        <v>5</v>
      </c>
      <c r="H22" s="119">
        <f>4000*G22</f>
        <v>20000</v>
      </c>
      <c r="I22" s="54"/>
      <c r="J22" s="54"/>
      <c r="K22" s="54">
        <v>3</v>
      </c>
      <c r="L22" s="119">
        <f>4000*K22</f>
        <v>12000</v>
      </c>
      <c r="M22" s="54"/>
      <c r="N22" s="180"/>
    </row>
    <row r="23" spans="1:14" s="38" customFormat="1" x14ac:dyDescent="0.2">
      <c r="A23" s="25"/>
      <c r="B23" s="48" t="s">
        <v>29</v>
      </c>
      <c r="C23" s="64">
        <f t="shared" si="5"/>
        <v>0</v>
      </c>
      <c r="D23" s="64">
        <f t="shared" si="7"/>
        <v>0</v>
      </c>
      <c r="E23" s="64">
        <f t="shared" si="8"/>
        <v>0</v>
      </c>
      <c r="F23" s="64">
        <f t="shared" si="6"/>
        <v>0</v>
      </c>
      <c r="G23" s="54"/>
      <c r="H23" s="119"/>
      <c r="I23" s="54"/>
      <c r="J23" s="54"/>
      <c r="K23" s="54"/>
      <c r="L23" s="119"/>
      <c r="M23" s="54"/>
      <c r="N23" s="180"/>
    </row>
    <row r="24" spans="1:14" s="38" customFormat="1" x14ac:dyDescent="0.2">
      <c r="A24" s="25"/>
      <c r="B24" s="48" t="s">
        <v>30</v>
      </c>
      <c r="C24" s="64">
        <f t="shared" si="5"/>
        <v>4</v>
      </c>
      <c r="D24" s="64">
        <f t="shared" si="7"/>
        <v>12000</v>
      </c>
      <c r="E24" s="64">
        <f t="shared" si="8"/>
        <v>0</v>
      </c>
      <c r="F24" s="64">
        <f t="shared" si="6"/>
        <v>0</v>
      </c>
      <c r="G24" s="54"/>
      <c r="H24" s="119"/>
      <c r="I24" s="54"/>
      <c r="J24" s="54"/>
      <c r="K24" s="54">
        <v>4</v>
      </c>
      <c r="L24" s="119">
        <f>K24*3000</f>
        <v>12000</v>
      </c>
      <c r="M24" s="54"/>
      <c r="N24" s="180"/>
    </row>
    <row r="25" spans="1:14" s="38" customFormat="1" x14ac:dyDescent="0.2">
      <c r="A25" s="25"/>
      <c r="B25" s="48" t="s">
        <v>31</v>
      </c>
      <c r="C25" s="64">
        <f t="shared" si="5"/>
        <v>0</v>
      </c>
      <c r="D25" s="64">
        <f t="shared" si="7"/>
        <v>0</v>
      </c>
      <c r="E25" s="64">
        <f t="shared" si="8"/>
        <v>0</v>
      </c>
      <c r="F25" s="64">
        <f t="shared" si="6"/>
        <v>0</v>
      </c>
      <c r="G25" s="54"/>
      <c r="H25" s="119"/>
      <c r="I25" s="54"/>
      <c r="J25" s="54"/>
      <c r="K25" s="54"/>
      <c r="L25" s="119"/>
      <c r="M25" s="54"/>
      <c r="N25" s="180"/>
    </row>
    <row r="26" spans="1:14" s="38" customFormat="1" x14ac:dyDescent="0.2">
      <c r="A26" s="25"/>
      <c r="B26" s="209" t="s">
        <v>32</v>
      </c>
      <c r="C26" s="64">
        <f t="shared" si="5"/>
        <v>20</v>
      </c>
      <c r="D26" s="64">
        <f t="shared" si="7"/>
        <v>50000</v>
      </c>
      <c r="E26" s="64">
        <f t="shared" si="8"/>
        <v>0</v>
      </c>
      <c r="F26" s="64">
        <f t="shared" si="6"/>
        <v>0</v>
      </c>
      <c r="G26" s="54">
        <f>10</f>
        <v>10</v>
      </c>
      <c r="H26" s="119">
        <f>G26*2500</f>
        <v>25000</v>
      </c>
      <c r="I26" s="54"/>
      <c r="J26" s="54"/>
      <c r="K26" s="54">
        <f>10</f>
        <v>10</v>
      </c>
      <c r="L26" s="119">
        <f>K26*2500</f>
        <v>25000</v>
      </c>
      <c r="M26" s="54"/>
      <c r="N26" s="180"/>
    </row>
    <row r="27" spans="1:14" s="38" customFormat="1" ht="15" x14ac:dyDescent="0.25">
      <c r="A27" s="25"/>
      <c r="B27" s="209" t="s">
        <v>33</v>
      </c>
      <c r="C27" s="64">
        <f t="shared" si="5"/>
        <v>15</v>
      </c>
      <c r="D27" s="64">
        <f t="shared" si="7"/>
        <v>37500</v>
      </c>
      <c r="E27" s="64">
        <f t="shared" si="8"/>
        <v>0</v>
      </c>
      <c r="F27" s="64">
        <f t="shared" si="6"/>
        <v>0</v>
      </c>
      <c r="G27" s="47">
        <v>15</v>
      </c>
      <c r="H27" s="119">
        <f t="shared" ref="H27" si="9">G27*2500</f>
        <v>37500</v>
      </c>
      <c r="I27" s="54"/>
      <c r="J27" s="54"/>
      <c r="K27" s="54"/>
      <c r="L27" s="119"/>
      <c r="M27" s="54"/>
      <c r="N27" s="180"/>
    </row>
    <row r="28" spans="1:14" s="38" customFormat="1" x14ac:dyDescent="0.2">
      <c r="A28" s="25"/>
      <c r="B28" s="209" t="s">
        <v>35</v>
      </c>
      <c r="C28" s="64">
        <f t="shared" si="5"/>
        <v>20</v>
      </c>
      <c r="D28" s="64">
        <f t="shared" si="7"/>
        <v>40000</v>
      </c>
      <c r="E28" s="64">
        <f t="shared" si="8"/>
        <v>0</v>
      </c>
      <c r="F28" s="64">
        <f t="shared" si="6"/>
        <v>0</v>
      </c>
      <c r="G28" s="54">
        <v>10</v>
      </c>
      <c r="H28" s="119">
        <f>G28*2000</f>
        <v>20000</v>
      </c>
      <c r="I28" s="54"/>
      <c r="J28" s="54"/>
      <c r="K28" s="54">
        <v>10</v>
      </c>
      <c r="L28" s="119">
        <f>K28*2000</f>
        <v>20000</v>
      </c>
      <c r="M28" s="54"/>
      <c r="N28" s="180"/>
    </row>
    <row r="29" spans="1:14" s="38" customFormat="1" ht="15" x14ac:dyDescent="0.25">
      <c r="A29" s="25"/>
      <c r="B29" s="209" t="s">
        <v>36</v>
      </c>
      <c r="C29" s="64">
        <f t="shared" si="5"/>
        <v>2</v>
      </c>
      <c r="D29" s="64">
        <f t="shared" si="7"/>
        <v>10000</v>
      </c>
      <c r="E29" s="64">
        <f t="shared" si="8"/>
        <v>0</v>
      </c>
      <c r="F29" s="64">
        <f t="shared" si="6"/>
        <v>0</v>
      </c>
      <c r="G29" s="47">
        <v>2</v>
      </c>
      <c r="H29" s="119">
        <f>G29*5000</f>
        <v>10000</v>
      </c>
      <c r="I29" s="54"/>
      <c r="J29" s="54"/>
      <c r="K29" s="54"/>
      <c r="L29" s="119"/>
      <c r="M29" s="54"/>
      <c r="N29" s="180"/>
    </row>
    <row r="30" spans="1:14" s="38" customFormat="1" ht="15" x14ac:dyDescent="0.25">
      <c r="A30" s="25"/>
      <c r="B30" s="209" t="s">
        <v>37</v>
      </c>
      <c r="C30" s="64">
        <f t="shared" si="5"/>
        <v>0</v>
      </c>
      <c r="D30" s="64">
        <f t="shared" si="7"/>
        <v>0</v>
      </c>
      <c r="E30" s="64">
        <f t="shared" si="8"/>
        <v>0</v>
      </c>
      <c r="F30" s="64">
        <f t="shared" si="6"/>
        <v>0</v>
      </c>
      <c r="G30" s="47"/>
      <c r="H30" s="119">
        <f>G30*3000</f>
        <v>0</v>
      </c>
      <c r="I30" s="54"/>
      <c r="J30" s="54"/>
      <c r="K30" s="54"/>
      <c r="L30" s="119">
        <f>K30*3000</f>
        <v>0</v>
      </c>
      <c r="M30" s="54"/>
      <c r="N30" s="180"/>
    </row>
    <row r="31" spans="1:14" s="38" customFormat="1" ht="15" x14ac:dyDescent="0.25">
      <c r="A31" s="25"/>
      <c r="B31" s="48" t="s">
        <v>38</v>
      </c>
      <c r="C31" s="64">
        <f t="shared" si="5"/>
        <v>0</v>
      </c>
      <c r="D31" s="64">
        <f t="shared" si="7"/>
        <v>0</v>
      </c>
      <c r="E31" s="64">
        <f t="shared" si="8"/>
        <v>0</v>
      </c>
      <c r="F31" s="64">
        <f t="shared" si="6"/>
        <v>0</v>
      </c>
      <c r="G31" s="47"/>
      <c r="H31" s="119">
        <f>G31*2500</f>
        <v>0</v>
      </c>
      <c r="I31" s="54"/>
      <c r="J31" s="54"/>
      <c r="K31" s="54"/>
      <c r="L31" s="119">
        <f>K31*2500</f>
        <v>0</v>
      </c>
      <c r="M31" s="54"/>
      <c r="N31" s="180"/>
    </row>
    <row r="32" spans="1:14" s="38" customFormat="1" x14ac:dyDescent="0.2">
      <c r="A32" s="25"/>
      <c r="B32" s="209" t="s">
        <v>39</v>
      </c>
      <c r="C32" s="64">
        <f t="shared" si="5"/>
        <v>0</v>
      </c>
      <c r="D32" s="64">
        <f t="shared" si="7"/>
        <v>0</v>
      </c>
      <c r="E32" s="64">
        <f t="shared" si="8"/>
        <v>0</v>
      </c>
      <c r="F32" s="64">
        <f t="shared" si="6"/>
        <v>0</v>
      </c>
      <c r="G32" s="54"/>
      <c r="H32" s="119">
        <f>G32*2000</f>
        <v>0</v>
      </c>
      <c r="I32" s="54"/>
      <c r="J32" s="54"/>
      <c r="K32" s="54"/>
      <c r="L32" s="119">
        <f>K32*2000</f>
        <v>0</v>
      </c>
      <c r="M32" s="54"/>
      <c r="N32" s="180"/>
    </row>
    <row r="33" spans="1:14" s="38" customFormat="1" x14ac:dyDescent="0.2">
      <c r="A33" s="25"/>
      <c r="B33" s="209" t="s">
        <v>40</v>
      </c>
      <c r="C33" s="64">
        <f t="shared" si="5"/>
        <v>0</v>
      </c>
      <c r="D33" s="64">
        <f t="shared" si="7"/>
        <v>0</v>
      </c>
      <c r="E33" s="64">
        <f t="shared" si="8"/>
        <v>0</v>
      </c>
      <c r="F33" s="64">
        <f t="shared" si="6"/>
        <v>0</v>
      </c>
      <c r="G33" s="54"/>
      <c r="H33" s="119">
        <f>G33*3000</f>
        <v>0</v>
      </c>
      <c r="I33" s="54"/>
      <c r="J33" s="54"/>
      <c r="K33" s="54"/>
      <c r="L33" s="119">
        <f>K33*3000</f>
        <v>0</v>
      </c>
      <c r="M33" s="54"/>
      <c r="N33" s="180"/>
    </row>
    <row r="34" spans="1:14" s="38" customFormat="1" x14ac:dyDescent="0.2">
      <c r="A34" s="25"/>
      <c r="B34" s="209" t="s">
        <v>41</v>
      </c>
      <c r="C34" s="64">
        <f t="shared" si="5"/>
        <v>0</v>
      </c>
      <c r="D34" s="64">
        <f t="shared" si="7"/>
        <v>0</v>
      </c>
      <c r="E34" s="64">
        <f t="shared" si="8"/>
        <v>0</v>
      </c>
      <c r="F34" s="64">
        <f t="shared" si="6"/>
        <v>0</v>
      </c>
      <c r="G34" s="54"/>
      <c r="H34" s="119">
        <f>G34*2500</f>
        <v>0</v>
      </c>
      <c r="I34" s="54"/>
      <c r="J34" s="54"/>
      <c r="K34" s="54"/>
      <c r="L34" s="119">
        <f>K34*2500</f>
        <v>0</v>
      </c>
      <c r="M34" s="54"/>
      <c r="N34" s="180"/>
    </row>
    <row r="35" spans="1:14" s="38" customFormat="1" x14ac:dyDescent="0.2">
      <c r="A35" s="25"/>
      <c r="B35" s="209" t="s">
        <v>42</v>
      </c>
      <c r="C35" s="64">
        <f t="shared" si="5"/>
        <v>0</v>
      </c>
      <c r="D35" s="64">
        <f t="shared" si="7"/>
        <v>0</v>
      </c>
      <c r="E35" s="64">
        <f t="shared" si="8"/>
        <v>0</v>
      </c>
      <c r="F35" s="64">
        <f t="shared" si="6"/>
        <v>0</v>
      </c>
      <c r="G35" s="54"/>
      <c r="H35" s="119">
        <f>G35*2000</f>
        <v>0</v>
      </c>
      <c r="I35" s="54"/>
      <c r="J35" s="54"/>
      <c r="K35" s="54"/>
      <c r="L35" s="119">
        <f>K35*2000</f>
        <v>0</v>
      </c>
      <c r="M35" s="54"/>
      <c r="N35" s="180"/>
    </row>
    <row r="36" spans="1:14" s="38" customFormat="1" x14ac:dyDescent="0.2">
      <c r="A36" s="25"/>
      <c r="B36" s="48" t="s">
        <v>43</v>
      </c>
      <c r="C36" s="64">
        <f t="shared" si="5"/>
        <v>0</v>
      </c>
      <c r="D36" s="64">
        <f t="shared" si="7"/>
        <v>0</v>
      </c>
      <c r="E36" s="64">
        <f t="shared" si="8"/>
        <v>0</v>
      </c>
      <c r="F36" s="64">
        <f t="shared" si="6"/>
        <v>0</v>
      </c>
      <c r="G36" s="54"/>
      <c r="H36" s="119">
        <f>G36*1200</f>
        <v>0</v>
      </c>
      <c r="I36" s="54"/>
      <c r="J36" s="54"/>
      <c r="K36" s="54"/>
      <c r="L36" s="119">
        <f>K36*1200</f>
        <v>0</v>
      </c>
      <c r="M36" s="54"/>
      <c r="N36" s="180"/>
    </row>
    <row r="37" spans="1:14" s="38" customFormat="1" x14ac:dyDescent="0.2">
      <c r="A37" s="25"/>
      <c r="B37" s="48" t="s">
        <v>44</v>
      </c>
      <c r="C37" s="64">
        <f t="shared" si="5"/>
        <v>8</v>
      </c>
      <c r="D37" s="64">
        <f t="shared" si="7"/>
        <v>16000</v>
      </c>
      <c r="E37" s="64">
        <f t="shared" si="8"/>
        <v>0</v>
      </c>
      <c r="F37" s="64">
        <f t="shared" si="6"/>
        <v>0</v>
      </c>
      <c r="G37" s="54">
        <v>4</v>
      </c>
      <c r="H37" s="119">
        <f>G37*2000</f>
        <v>8000</v>
      </c>
      <c r="I37" s="54"/>
      <c r="J37" s="54"/>
      <c r="K37" s="54">
        <v>4</v>
      </c>
      <c r="L37" s="119">
        <f>K37*2000</f>
        <v>8000</v>
      </c>
      <c r="M37" s="54"/>
      <c r="N37" s="180"/>
    </row>
    <row r="38" spans="1:14" s="38" customFormat="1" ht="15" x14ac:dyDescent="0.25">
      <c r="A38" s="25"/>
      <c r="B38" s="48" t="s">
        <v>45</v>
      </c>
      <c r="C38" s="64">
        <f t="shared" si="5"/>
        <v>3</v>
      </c>
      <c r="D38" s="64">
        <f t="shared" si="7"/>
        <v>22500</v>
      </c>
      <c r="E38" s="64">
        <f t="shared" si="8"/>
        <v>0</v>
      </c>
      <c r="F38" s="64">
        <f t="shared" si="6"/>
        <v>0</v>
      </c>
      <c r="G38" s="47">
        <f>1</f>
        <v>1</v>
      </c>
      <c r="H38" s="119">
        <f>G38*7500</f>
        <v>7500</v>
      </c>
      <c r="I38" s="54"/>
      <c r="J38" s="54"/>
      <c r="K38" s="54">
        <f>2</f>
        <v>2</v>
      </c>
      <c r="L38" s="119">
        <f>K38*7500</f>
        <v>15000</v>
      </c>
      <c r="M38" s="54"/>
      <c r="N38" s="180"/>
    </row>
    <row r="39" spans="1:14" s="38" customFormat="1" x14ac:dyDescent="0.2">
      <c r="A39" s="25"/>
      <c r="B39" s="48" t="s">
        <v>46</v>
      </c>
      <c r="C39" s="64">
        <f t="shared" si="5"/>
        <v>1</v>
      </c>
      <c r="D39" s="64">
        <f t="shared" si="7"/>
        <v>9000</v>
      </c>
      <c r="E39" s="64">
        <f t="shared" si="8"/>
        <v>0</v>
      </c>
      <c r="F39" s="64">
        <f t="shared" si="6"/>
        <v>0</v>
      </c>
      <c r="G39" s="54">
        <v>1</v>
      </c>
      <c r="H39" s="119">
        <f>G39*9000</f>
        <v>9000</v>
      </c>
      <c r="I39" s="54"/>
      <c r="J39" s="54"/>
      <c r="K39" s="54"/>
      <c r="L39" s="119">
        <f>K39*9000</f>
        <v>0</v>
      </c>
      <c r="M39" s="54"/>
      <c r="N39" s="180"/>
    </row>
    <row r="40" spans="1:14" s="38" customFormat="1" x14ac:dyDescent="0.2">
      <c r="A40" s="25"/>
      <c r="B40" s="209" t="s">
        <v>47</v>
      </c>
      <c r="C40" s="64">
        <f t="shared" si="5"/>
        <v>0</v>
      </c>
      <c r="D40" s="64">
        <f t="shared" si="7"/>
        <v>0</v>
      </c>
      <c r="E40" s="64">
        <f t="shared" si="8"/>
        <v>0</v>
      </c>
      <c r="F40" s="64">
        <f t="shared" si="6"/>
        <v>0</v>
      </c>
      <c r="G40" s="54"/>
      <c r="H40" s="119"/>
      <c r="I40" s="54"/>
      <c r="J40" s="54"/>
      <c r="K40" s="54"/>
      <c r="L40" s="119"/>
      <c r="M40" s="54"/>
      <c r="N40" s="180"/>
    </row>
    <row r="41" spans="1:14" s="38" customFormat="1" x14ac:dyDescent="0.2">
      <c r="A41" s="25"/>
      <c r="B41" s="209" t="s">
        <v>48</v>
      </c>
      <c r="C41" s="64">
        <f t="shared" si="5"/>
        <v>0</v>
      </c>
      <c r="D41" s="64">
        <f t="shared" si="7"/>
        <v>0</v>
      </c>
      <c r="E41" s="64">
        <f t="shared" si="8"/>
        <v>0</v>
      </c>
      <c r="F41" s="64">
        <f t="shared" si="6"/>
        <v>0</v>
      </c>
      <c r="G41" s="54"/>
      <c r="H41" s="119"/>
      <c r="I41" s="54"/>
      <c r="J41" s="54"/>
      <c r="K41" s="54"/>
      <c r="L41" s="119"/>
      <c r="M41" s="54"/>
      <c r="N41" s="180"/>
    </row>
    <row r="42" spans="1:14" s="38" customFormat="1" x14ac:dyDescent="0.2">
      <c r="A42" s="25"/>
      <c r="B42" s="48" t="s">
        <v>49</v>
      </c>
      <c r="C42" s="64">
        <f t="shared" si="5"/>
        <v>0</v>
      </c>
      <c r="D42" s="64">
        <f t="shared" si="7"/>
        <v>0</v>
      </c>
      <c r="E42" s="64">
        <f t="shared" si="8"/>
        <v>0</v>
      </c>
      <c r="F42" s="64">
        <f t="shared" si="6"/>
        <v>0</v>
      </c>
      <c r="G42" s="54"/>
      <c r="H42" s="119"/>
      <c r="I42" s="54"/>
      <c r="J42" s="54"/>
      <c r="K42" s="54"/>
      <c r="L42" s="119"/>
      <c r="M42" s="54"/>
      <c r="N42" s="180"/>
    </row>
    <row r="43" spans="1:14" s="38" customFormat="1" x14ac:dyDescent="0.2">
      <c r="A43" s="25"/>
      <c r="B43" s="48" t="s">
        <v>50</v>
      </c>
      <c r="C43" s="64">
        <f t="shared" si="5"/>
        <v>0</v>
      </c>
      <c r="D43" s="64">
        <f t="shared" si="7"/>
        <v>0</v>
      </c>
      <c r="E43" s="64">
        <f t="shared" si="8"/>
        <v>0</v>
      </c>
      <c r="F43" s="64">
        <f t="shared" si="6"/>
        <v>0</v>
      </c>
      <c r="G43" s="54"/>
      <c r="H43" s="119">
        <f>G43*3000</f>
        <v>0</v>
      </c>
      <c r="I43" s="54"/>
      <c r="J43" s="54"/>
      <c r="K43" s="54"/>
      <c r="L43" s="119">
        <f>K43*3000</f>
        <v>0</v>
      </c>
      <c r="M43" s="54"/>
      <c r="N43" s="180"/>
    </row>
    <row r="44" spans="1:14" s="38" customFormat="1" x14ac:dyDescent="0.2">
      <c r="A44" s="25"/>
      <c r="B44" s="48" t="s">
        <v>51</v>
      </c>
      <c r="C44" s="64">
        <f t="shared" si="5"/>
        <v>3</v>
      </c>
      <c r="D44" s="64">
        <f t="shared" si="7"/>
        <v>12000</v>
      </c>
      <c r="E44" s="64">
        <f t="shared" si="8"/>
        <v>0</v>
      </c>
      <c r="F44" s="64">
        <f t="shared" si="6"/>
        <v>0</v>
      </c>
      <c r="G44" s="54">
        <f>2</f>
        <v>2</v>
      </c>
      <c r="H44" s="119">
        <f>G44*4000</f>
        <v>8000</v>
      </c>
      <c r="I44" s="54"/>
      <c r="J44" s="54"/>
      <c r="K44" s="54">
        <f>1</f>
        <v>1</v>
      </c>
      <c r="L44" s="119">
        <f>K44*4000</f>
        <v>4000</v>
      </c>
      <c r="M44" s="54"/>
      <c r="N44" s="180"/>
    </row>
    <row r="45" spans="1:14" s="38" customFormat="1" x14ac:dyDescent="0.2">
      <c r="A45" s="25"/>
      <c r="B45" s="48" t="s">
        <v>52</v>
      </c>
      <c r="C45" s="64">
        <f t="shared" si="5"/>
        <v>2</v>
      </c>
      <c r="D45" s="64">
        <f t="shared" si="7"/>
        <v>6000</v>
      </c>
      <c r="E45" s="64">
        <f t="shared" si="8"/>
        <v>0</v>
      </c>
      <c r="F45" s="64">
        <f t="shared" si="6"/>
        <v>0</v>
      </c>
      <c r="G45" s="54">
        <f>2</f>
        <v>2</v>
      </c>
      <c r="H45" s="119">
        <f>G45*3000</f>
        <v>6000</v>
      </c>
      <c r="I45" s="54"/>
      <c r="J45" s="54"/>
      <c r="K45" s="54"/>
      <c r="L45" s="119"/>
      <c r="M45" s="54"/>
      <c r="N45" s="180"/>
    </row>
    <row r="46" spans="1:14" s="38" customFormat="1" x14ac:dyDescent="0.2">
      <c r="A46" s="25"/>
      <c r="B46" s="209" t="s">
        <v>53</v>
      </c>
      <c r="C46" s="64">
        <f t="shared" si="5"/>
        <v>0</v>
      </c>
      <c r="D46" s="64">
        <f t="shared" si="7"/>
        <v>0</v>
      </c>
      <c r="E46" s="64">
        <f t="shared" si="8"/>
        <v>0</v>
      </c>
      <c r="F46" s="64">
        <f t="shared" si="6"/>
        <v>0</v>
      </c>
      <c r="G46" s="54"/>
      <c r="H46" s="119">
        <f>G46*3000</f>
        <v>0</v>
      </c>
      <c r="I46" s="54"/>
      <c r="J46" s="54"/>
      <c r="K46" s="54"/>
      <c r="L46" s="119"/>
      <c r="M46" s="54"/>
      <c r="N46" s="180"/>
    </row>
    <row r="47" spans="1:14" s="38" customFormat="1" ht="15.75" thickBot="1" x14ac:dyDescent="0.3">
      <c r="A47" s="181"/>
      <c r="B47" s="182" t="s">
        <v>54</v>
      </c>
      <c r="C47" s="239">
        <f t="shared" si="5"/>
        <v>4</v>
      </c>
      <c r="D47" s="239">
        <f t="shared" si="7"/>
        <v>18000</v>
      </c>
      <c r="E47" s="239">
        <f t="shared" si="8"/>
        <v>0</v>
      </c>
      <c r="F47" s="239">
        <f t="shared" si="6"/>
        <v>0</v>
      </c>
      <c r="G47" s="183">
        <f>4</f>
        <v>4</v>
      </c>
      <c r="H47" s="184">
        <f>G47*4500</f>
        <v>18000</v>
      </c>
      <c r="I47" s="200"/>
      <c r="J47" s="200"/>
      <c r="K47" s="183"/>
      <c r="L47" s="184"/>
      <c r="M47" s="200"/>
      <c r="N47" s="186"/>
    </row>
    <row r="48" spans="1:14" ht="13.5" thickBot="1" x14ac:dyDescent="0.25">
      <c r="A48" s="99"/>
      <c r="B48" s="284" t="s">
        <v>154</v>
      </c>
      <c r="C48" s="107">
        <f>SUM(C14:C47)</f>
        <v>102</v>
      </c>
      <c r="D48" s="107">
        <f t="shared" ref="D48:N48" si="10">SUM(D14:D47)</f>
        <v>296500</v>
      </c>
      <c r="E48" s="107">
        <f t="shared" si="10"/>
        <v>0</v>
      </c>
      <c r="F48" s="107">
        <f t="shared" si="10"/>
        <v>0</v>
      </c>
      <c r="G48" s="107">
        <f t="shared" si="10"/>
        <v>66</v>
      </c>
      <c r="H48" s="107">
        <f t="shared" si="10"/>
        <v>194500</v>
      </c>
      <c r="I48" s="107">
        <f t="shared" si="10"/>
        <v>0</v>
      </c>
      <c r="J48" s="107">
        <f t="shared" si="10"/>
        <v>0</v>
      </c>
      <c r="K48" s="107">
        <f t="shared" si="10"/>
        <v>36</v>
      </c>
      <c r="L48" s="107">
        <f t="shared" si="10"/>
        <v>102000</v>
      </c>
      <c r="M48" s="107">
        <f t="shared" si="10"/>
        <v>0</v>
      </c>
      <c r="N48" s="107">
        <f t="shared" si="10"/>
        <v>0</v>
      </c>
    </row>
    <row r="49" spans="1:14" s="38" customFormat="1" x14ac:dyDescent="0.2">
      <c r="A49" s="175" t="s">
        <v>6</v>
      </c>
      <c r="B49" s="194" t="s">
        <v>61</v>
      </c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4"/>
    </row>
    <row r="50" spans="1:14" s="38" customFormat="1" ht="15" x14ac:dyDescent="0.25">
      <c r="A50" s="25"/>
      <c r="B50" s="48" t="s">
        <v>64</v>
      </c>
      <c r="C50" s="64">
        <f t="shared" ref="C50:C56" si="11">G50+K50</f>
        <v>8</v>
      </c>
      <c r="D50" s="64">
        <f t="shared" ref="D50:D56" si="12">H50+L50</f>
        <v>64000</v>
      </c>
      <c r="E50" s="64">
        <f t="shared" ref="E50:E56" si="13">I50+M50</f>
        <v>0</v>
      </c>
      <c r="F50" s="64">
        <f t="shared" ref="F50:F56" si="14">J50+N50</f>
        <v>0</v>
      </c>
      <c r="G50" s="47">
        <v>4</v>
      </c>
      <c r="H50" s="119">
        <f>G50*8000</f>
        <v>32000</v>
      </c>
      <c r="I50" s="54"/>
      <c r="J50" s="54"/>
      <c r="K50" s="54">
        <v>4</v>
      </c>
      <c r="L50" s="119">
        <f>K50*8000</f>
        <v>32000</v>
      </c>
      <c r="M50" s="54"/>
      <c r="N50" s="180"/>
    </row>
    <row r="51" spans="1:14" s="38" customFormat="1" ht="15" x14ac:dyDescent="0.25">
      <c r="A51" s="25"/>
      <c r="B51" s="48" t="s">
        <v>65</v>
      </c>
      <c r="C51" s="64">
        <f t="shared" si="11"/>
        <v>1</v>
      </c>
      <c r="D51" s="64">
        <f t="shared" si="12"/>
        <v>18000</v>
      </c>
      <c r="E51" s="64">
        <f t="shared" si="13"/>
        <v>0</v>
      </c>
      <c r="F51" s="64">
        <f t="shared" si="14"/>
        <v>0</v>
      </c>
      <c r="G51" s="47"/>
      <c r="H51" s="119">
        <f>G51*18000</f>
        <v>0</v>
      </c>
      <c r="I51" s="54"/>
      <c r="J51" s="54"/>
      <c r="K51" s="54">
        <f>1</f>
        <v>1</v>
      </c>
      <c r="L51" s="119">
        <f>K51*18000</f>
        <v>18000</v>
      </c>
      <c r="M51" s="54"/>
      <c r="N51" s="180"/>
    </row>
    <row r="52" spans="1:14" s="38" customFormat="1" ht="15" x14ac:dyDescent="0.25">
      <c r="A52" s="25"/>
      <c r="B52" s="193" t="s">
        <v>66</v>
      </c>
      <c r="C52" s="64">
        <f t="shared" si="11"/>
        <v>2</v>
      </c>
      <c r="D52" s="64">
        <f t="shared" si="12"/>
        <v>6000</v>
      </c>
      <c r="E52" s="64">
        <f t="shared" si="13"/>
        <v>0</v>
      </c>
      <c r="F52" s="64">
        <f t="shared" si="14"/>
        <v>0</v>
      </c>
      <c r="G52" s="47">
        <f>1</f>
        <v>1</v>
      </c>
      <c r="H52" s="119">
        <f>G52*3000</f>
        <v>3000</v>
      </c>
      <c r="I52" s="54"/>
      <c r="J52" s="54"/>
      <c r="K52" s="54">
        <f>1</f>
        <v>1</v>
      </c>
      <c r="L52" s="119">
        <f>K52*3000</f>
        <v>3000</v>
      </c>
      <c r="M52" s="54"/>
      <c r="N52" s="180"/>
    </row>
    <row r="53" spans="1:14" s="38" customFormat="1" ht="15" x14ac:dyDescent="0.25">
      <c r="A53" s="25"/>
      <c r="B53" s="48" t="s">
        <v>67</v>
      </c>
      <c r="C53" s="64">
        <f t="shared" si="11"/>
        <v>4</v>
      </c>
      <c r="D53" s="64">
        <f t="shared" si="12"/>
        <v>24000</v>
      </c>
      <c r="E53" s="64">
        <f t="shared" si="13"/>
        <v>0</v>
      </c>
      <c r="F53" s="64">
        <f t="shared" si="14"/>
        <v>0</v>
      </c>
      <c r="G53" s="47">
        <f>2</f>
        <v>2</v>
      </c>
      <c r="H53" s="119">
        <f>G53*6000</f>
        <v>12000</v>
      </c>
      <c r="I53" s="54"/>
      <c r="J53" s="54"/>
      <c r="K53" s="54">
        <f>2</f>
        <v>2</v>
      </c>
      <c r="L53" s="119">
        <f>K53*6000</f>
        <v>12000</v>
      </c>
      <c r="M53" s="54"/>
      <c r="N53" s="180"/>
    </row>
    <row r="54" spans="1:14" s="38" customFormat="1" x14ac:dyDescent="0.2">
      <c r="A54" s="25"/>
      <c r="B54" s="48" t="s">
        <v>68</v>
      </c>
      <c r="C54" s="64">
        <f t="shared" si="11"/>
        <v>2</v>
      </c>
      <c r="D54" s="64">
        <f t="shared" si="12"/>
        <v>16000</v>
      </c>
      <c r="E54" s="64">
        <f t="shared" si="13"/>
        <v>0</v>
      </c>
      <c r="F54" s="64">
        <f t="shared" si="14"/>
        <v>0</v>
      </c>
      <c r="G54" s="54">
        <f>1</f>
        <v>1</v>
      </c>
      <c r="H54" s="119">
        <f>G54*8000</f>
        <v>8000</v>
      </c>
      <c r="I54" s="54"/>
      <c r="J54" s="54"/>
      <c r="K54" s="54">
        <v>1</v>
      </c>
      <c r="L54" s="119">
        <f>K54*8000</f>
        <v>8000</v>
      </c>
      <c r="M54" s="54"/>
      <c r="N54" s="180"/>
    </row>
    <row r="55" spans="1:14" s="38" customFormat="1" x14ac:dyDescent="0.2">
      <c r="A55" s="143"/>
      <c r="B55" s="48" t="s">
        <v>69</v>
      </c>
      <c r="C55" s="64">
        <f t="shared" si="11"/>
        <v>0</v>
      </c>
      <c r="D55" s="64">
        <f t="shared" si="12"/>
        <v>0</v>
      </c>
      <c r="E55" s="64">
        <f t="shared" si="13"/>
        <v>0</v>
      </c>
      <c r="F55" s="64">
        <f t="shared" si="14"/>
        <v>0</v>
      </c>
      <c r="G55" s="54"/>
      <c r="H55" s="119">
        <f>G55*5000</f>
        <v>0</v>
      </c>
      <c r="I55" s="54"/>
      <c r="J55" s="54"/>
      <c r="K55" s="54"/>
      <c r="L55" s="119">
        <f>K55*5000</f>
        <v>0</v>
      </c>
      <c r="M55" s="54"/>
      <c r="N55" s="180"/>
    </row>
    <row r="56" spans="1:14" s="38" customFormat="1" x14ac:dyDescent="0.2">
      <c r="A56" s="143"/>
      <c r="B56" s="48" t="s">
        <v>70</v>
      </c>
      <c r="C56" s="64">
        <f t="shared" si="11"/>
        <v>0</v>
      </c>
      <c r="D56" s="64">
        <f t="shared" si="12"/>
        <v>0</v>
      </c>
      <c r="E56" s="64">
        <f t="shared" si="13"/>
        <v>0</v>
      </c>
      <c r="F56" s="64">
        <f t="shared" si="14"/>
        <v>0</v>
      </c>
      <c r="G56" s="54"/>
      <c r="H56" s="119">
        <f>3000*G56</f>
        <v>0</v>
      </c>
      <c r="I56" s="54"/>
      <c r="J56" s="54"/>
      <c r="K56" s="54"/>
      <c r="L56" s="119"/>
      <c r="M56" s="54"/>
      <c r="N56" s="180"/>
    </row>
    <row r="57" spans="1:14" s="38" customFormat="1" x14ac:dyDescent="0.2">
      <c r="A57" s="143"/>
      <c r="B57" s="48" t="s">
        <v>71</v>
      </c>
      <c r="C57" s="64">
        <f t="shared" ref="C57:F59" si="15">G57+K57</f>
        <v>1</v>
      </c>
      <c r="D57" s="64">
        <f t="shared" si="15"/>
        <v>10000</v>
      </c>
      <c r="E57" s="64">
        <f t="shared" si="15"/>
        <v>0</v>
      </c>
      <c r="F57" s="64">
        <f t="shared" si="15"/>
        <v>0</v>
      </c>
      <c r="G57" s="54"/>
      <c r="H57" s="119"/>
      <c r="I57" s="54"/>
      <c r="J57" s="54"/>
      <c r="K57" s="54">
        <f>1</f>
        <v>1</v>
      </c>
      <c r="L57" s="119">
        <f>K57*10000</f>
        <v>10000</v>
      </c>
      <c r="M57" s="54"/>
      <c r="N57" s="180"/>
    </row>
    <row r="58" spans="1:14" s="38" customFormat="1" x14ac:dyDescent="0.2">
      <c r="A58" s="143"/>
      <c r="B58" s="48" t="s">
        <v>72</v>
      </c>
      <c r="C58" s="64">
        <f t="shared" si="15"/>
        <v>0</v>
      </c>
      <c r="D58" s="64">
        <f t="shared" ref="D58:D59" si="16">H58+L58</f>
        <v>0</v>
      </c>
      <c r="E58" s="64">
        <f t="shared" ref="E58:E59" si="17">I58+M58</f>
        <v>0</v>
      </c>
      <c r="F58" s="64">
        <f t="shared" ref="F58:F59" si="18">J58+N58</f>
        <v>0</v>
      </c>
      <c r="G58" s="54"/>
      <c r="H58" s="119"/>
      <c r="I58" s="54"/>
      <c r="J58" s="54"/>
      <c r="K58" s="54"/>
      <c r="L58" s="119"/>
      <c r="M58" s="54"/>
      <c r="N58" s="180"/>
    </row>
    <row r="59" spans="1:14" s="38" customFormat="1" ht="13.5" thickBot="1" x14ac:dyDescent="0.25">
      <c r="A59" s="195"/>
      <c r="B59" s="182" t="s">
        <v>73</v>
      </c>
      <c r="C59" s="239">
        <f t="shared" si="15"/>
        <v>2</v>
      </c>
      <c r="D59" s="239">
        <f t="shared" si="16"/>
        <v>729000</v>
      </c>
      <c r="E59" s="239">
        <f t="shared" si="17"/>
        <v>0</v>
      </c>
      <c r="F59" s="239">
        <f t="shared" si="18"/>
        <v>0</v>
      </c>
      <c r="G59" s="200">
        <v>1</v>
      </c>
      <c r="H59" s="184">
        <f>360000+34500</f>
        <v>394500</v>
      </c>
      <c r="I59" s="200"/>
      <c r="J59" s="200"/>
      <c r="K59" s="200">
        <v>1</v>
      </c>
      <c r="L59" s="184">
        <f>300000+34500</f>
        <v>334500</v>
      </c>
      <c r="M59" s="200"/>
      <c r="N59" s="186"/>
    </row>
    <row r="60" spans="1:14" x14ac:dyDescent="0.2">
      <c r="A60" s="99"/>
      <c r="B60" s="284" t="s">
        <v>156</v>
      </c>
      <c r="C60" s="234">
        <f t="shared" ref="C60:N60" si="19">SUM(C50:C59)</f>
        <v>20</v>
      </c>
      <c r="D60" s="234">
        <f t="shared" si="19"/>
        <v>867000</v>
      </c>
      <c r="E60" s="234">
        <f t="shared" si="19"/>
        <v>0</v>
      </c>
      <c r="F60" s="234">
        <f t="shared" si="19"/>
        <v>0</v>
      </c>
      <c r="G60" s="234">
        <f t="shared" si="19"/>
        <v>9</v>
      </c>
      <c r="H60" s="234">
        <f t="shared" si="19"/>
        <v>449500</v>
      </c>
      <c r="I60" s="234">
        <f t="shared" si="19"/>
        <v>0</v>
      </c>
      <c r="J60" s="234">
        <f t="shared" si="19"/>
        <v>0</v>
      </c>
      <c r="K60" s="234">
        <f t="shared" si="19"/>
        <v>11</v>
      </c>
      <c r="L60" s="234">
        <f t="shared" si="19"/>
        <v>417500</v>
      </c>
      <c r="M60" s="234">
        <f t="shared" si="19"/>
        <v>0</v>
      </c>
      <c r="N60" s="234">
        <f t="shared" si="19"/>
        <v>0</v>
      </c>
    </row>
    <row r="61" spans="1:14" x14ac:dyDescent="0.2">
      <c r="A61" s="57" t="s">
        <v>7</v>
      </c>
      <c r="B61" s="112" t="s">
        <v>74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</row>
    <row r="62" spans="1:14" s="38" customFormat="1" x14ac:dyDescent="0.2">
      <c r="A62" s="57"/>
      <c r="B62" s="135" t="s">
        <v>75</v>
      </c>
      <c r="C62" s="64">
        <f t="shared" ref="C62:C72" si="20">G62+K62</f>
        <v>0</v>
      </c>
      <c r="D62" s="64">
        <f t="shared" ref="D62:D72" si="21">H62+L62</f>
        <v>0</v>
      </c>
      <c r="E62" s="64">
        <f t="shared" ref="E62:E72" si="22">I62+M62</f>
        <v>0</v>
      </c>
      <c r="F62" s="64">
        <f t="shared" ref="F62:F72" si="23">J62+N62</f>
        <v>0</v>
      </c>
      <c r="G62" s="54"/>
      <c r="H62" s="119"/>
      <c r="I62" s="54"/>
      <c r="J62" s="54"/>
      <c r="K62" s="54"/>
      <c r="L62" s="119"/>
      <c r="M62" s="54"/>
      <c r="N62" s="54"/>
    </row>
    <row r="63" spans="1:14" s="38" customFormat="1" x14ac:dyDescent="0.2">
      <c r="A63" s="57"/>
      <c r="B63" s="135" t="s">
        <v>76</v>
      </c>
      <c r="C63" s="64">
        <f t="shared" si="20"/>
        <v>0</v>
      </c>
      <c r="D63" s="64">
        <f t="shared" si="21"/>
        <v>0</v>
      </c>
      <c r="E63" s="64">
        <f t="shared" si="22"/>
        <v>0</v>
      </c>
      <c r="F63" s="64">
        <f t="shared" si="23"/>
        <v>0</v>
      </c>
      <c r="G63" s="54"/>
      <c r="H63" s="119"/>
      <c r="I63" s="54"/>
      <c r="J63" s="54"/>
      <c r="K63" s="54"/>
      <c r="L63" s="119"/>
      <c r="M63" s="54"/>
      <c r="N63" s="54"/>
    </row>
    <row r="64" spans="1:14" s="38" customFormat="1" x14ac:dyDescent="0.2">
      <c r="A64" s="57"/>
      <c r="B64" s="135" t="s">
        <v>77</v>
      </c>
      <c r="C64" s="64">
        <f t="shared" si="20"/>
        <v>0</v>
      </c>
      <c r="D64" s="64">
        <f t="shared" si="21"/>
        <v>0</v>
      </c>
      <c r="E64" s="64">
        <f t="shared" si="22"/>
        <v>0</v>
      </c>
      <c r="F64" s="64">
        <f t="shared" si="23"/>
        <v>0</v>
      </c>
      <c r="G64" s="54"/>
      <c r="H64" s="119"/>
      <c r="I64" s="54"/>
      <c r="J64" s="54"/>
      <c r="K64" s="54"/>
      <c r="L64" s="119"/>
      <c r="M64" s="54"/>
      <c r="N64" s="54"/>
    </row>
    <row r="65" spans="1:14" s="38" customFormat="1" x14ac:dyDescent="0.2">
      <c r="A65" s="57"/>
      <c r="B65" s="135" t="s">
        <v>78</v>
      </c>
      <c r="C65" s="64">
        <f t="shared" si="20"/>
        <v>0</v>
      </c>
      <c r="D65" s="64">
        <f t="shared" si="21"/>
        <v>0</v>
      </c>
      <c r="E65" s="64">
        <f t="shared" si="22"/>
        <v>0</v>
      </c>
      <c r="F65" s="64">
        <f t="shared" si="23"/>
        <v>0</v>
      </c>
      <c r="G65" s="54"/>
      <c r="H65" s="119"/>
      <c r="I65" s="54"/>
      <c r="J65" s="54"/>
      <c r="K65" s="54"/>
      <c r="L65" s="119"/>
      <c r="M65" s="54"/>
      <c r="N65" s="54"/>
    </row>
    <row r="66" spans="1:14" s="38" customFormat="1" x14ac:dyDescent="0.2">
      <c r="A66" s="57"/>
      <c r="B66" s="135" t="s">
        <v>79</v>
      </c>
      <c r="C66" s="64">
        <f t="shared" si="20"/>
        <v>4</v>
      </c>
      <c r="D66" s="64">
        <f t="shared" si="21"/>
        <v>32000</v>
      </c>
      <c r="E66" s="64">
        <f t="shared" si="22"/>
        <v>0</v>
      </c>
      <c r="F66" s="64">
        <f t="shared" si="23"/>
        <v>0</v>
      </c>
      <c r="G66" s="54">
        <f>2</f>
        <v>2</v>
      </c>
      <c r="H66" s="119">
        <f>G66*8000</f>
        <v>16000</v>
      </c>
      <c r="I66" s="54"/>
      <c r="J66" s="54"/>
      <c r="K66" s="54">
        <f>2</f>
        <v>2</v>
      </c>
      <c r="L66" s="119">
        <f>K66*8000</f>
        <v>16000</v>
      </c>
      <c r="M66" s="54"/>
      <c r="N66" s="54"/>
    </row>
    <row r="67" spans="1:14" s="38" customFormat="1" x14ac:dyDescent="0.2">
      <c r="A67" s="57"/>
      <c r="B67" s="135" t="s">
        <v>80</v>
      </c>
      <c r="C67" s="64">
        <f t="shared" si="20"/>
        <v>0</v>
      </c>
      <c r="D67" s="64">
        <f t="shared" si="21"/>
        <v>0</v>
      </c>
      <c r="E67" s="64">
        <f t="shared" si="22"/>
        <v>0</v>
      </c>
      <c r="F67" s="64">
        <f t="shared" si="23"/>
        <v>0</v>
      </c>
      <c r="G67" s="54"/>
      <c r="H67" s="119"/>
      <c r="I67" s="54"/>
      <c r="J67" s="54"/>
      <c r="K67" s="54"/>
      <c r="L67" s="119"/>
      <c r="M67" s="54"/>
      <c r="N67" s="54"/>
    </row>
    <row r="68" spans="1:14" s="38" customFormat="1" ht="15" x14ac:dyDescent="0.25">
      <c r="A68" s="57"/>
      <c r="B68" s="135" t="s">
        <v>81</v>
      </c>
      <c r="C68" s="64">
        <f t="shared" si="20"/>
        <v>0</v>
      </c>
      <c r="D68" s="64">
        <f t="shared" si="21"/>
        <v>0</v>
      </c>
      <c r="E68" s="64">
        <f t="shared" si="22"/>
        <v>0</v>
      </c>
      <c r="F68" s="64">
        <f t="shared" si="23"/>
        <v>0</v>
      </c>
      <c r="G68" s="47"/>
      <c r="H68" s="119"/>
      <c r="I68" s="54"/>
      <c r="J68" s="54"/>
      <c r="K68" s="54"/>
      <c r="L68" s="119"/>
      <c r="M68" s="54"/>
      <c r="N68" s="54"/>
    </row>
    <row r="69" spans="1:14" s="38" customFormat="1" ht="15" x14ac:dyDescent="0.25">
      <c r="A69" s="57"/>
      <c r="B69" s="135" t="s">
        <v>82</v>
      </c>
      <c r="C69" s="64">
        <f t="shared" si="20"/>
        <v>0</v>
      </c>
      <c r="D69" s="64">
        <f t="shared" si="21"/>
        <v>0</v>
      </c>
      <c r="E69" s="64">
        <f t="shared" si="22"/>
        <v>0</v>
      </c>
      <c r="F69" s="64">
        <f t="shared" si="23"/>
        <v>0</v>
      </c>
      <c r="G69" s="54"/>
      <c r="H69" s="119"/>
      <c r="I69" s="54"/>
      <c r="J69" s="54"/>
      <c r="K69" s="47"/>
      <c r="L69" s="119"/>
      <c r="M69" s="54"/>
      <c r="N69" s="54"/>
    </row>
    <row r="70" spans="1:14" s="38" customFormat="1" x14ac:dyDescent="0.2">
      <c r="A70" s="57"/>
      <c r="B70" s="135" t="s">
        <v>83</v>
      </c>
      <c r="C70" s="64">
        <f t="shared" si="20"/>
        <v>1</v>
      </c>
      <c r="D70" s="64">
        <f t="shared" si="21"/>
        <v>3000</v>
      </c>
      <c r="E70" s="64">
        <f t="shared" si="22"/>
        <v>0</v>
      </c>
      <c r="F70" s="64">
        <f t="shared" si="23"/>
        <v>0</v>
      </c>
      <c r="G70" s="54"/>
      <c r="H70" s="119"/>
      <c r="I70" s="54"/>
      <c r="J70" s="54"/>
      <c r="K70" s="54">
        <f>1</f>
        <v>1</v>
      </c>
      <c r="L70" s="119">
        <f>3000*K70</f>
        <v>3000</v>
      </c>
      <c r="M70" s="54"/>
      <c r="N70" s="54"/>
    </row>
    <row r="71" spans="1:14" s="38" customFormat="1" ht="15" x14ac:dyDescent="0.25">
      <c r="A71" s="57"/>
      <c r="B71" s="135" t="s">
        <v>84</v>
      </c>
      <c r="C71" s="64">
        <f t="shared" si="20"/>
        <v>0</v>
      </c>
      <c r="D71" s="64">
        <f t="shared" si="21"/>
        <v>0</v>
      </c>
      <c r="E71" s="64">
        <f t="shared" si="22"/>
        <v>0</v>
      </c>
      <c r="F71" s="64">
        <f t="shared" si="23"/>
        <v>0</v>
      </c>
      <c r="G71" s="47"/>
      <c r="H71" s="119"/>
      <c r="I71" s="54"/>
      <c r="J71" s="54"/>
      <c r="K71" s="47"/>
      <c r="L71" s="119"/>
      <c r="M71" s="54"/>
      <c r="N71" s="54"/>
    </row>
    <row r="72" spans="1:14" s="38" customFormat="1" x14ac:dyDescent="0.2">
      <c r="A72" s="57"/>
      <c r="B72" s="135" t="s">
        <v>85</v>
      </c>
      <c r="C72" s="64">
        <f t="shared" si="20"/>
        <v>0</v>
      </c>
      <c r="D72" s="64">
        <f t="shared" si="21"/>
        <v>0</v>
      </c>
      <c r="E72" s="64">
        <f t="shared" si="22"/>
        <v>0</v>
      </c>
      <c r="F72" s="64">
        <f t="shared" si="23"/>
        <v>0</v>
      </c>
      <c r="G72" s="54"/>
      <c r="H72" s="119"/>
      <c r="I72" s="54"/>
      <c r="J72" s="54"/>
      <c r="K72" s="54"/>
      <c r="L72" s="119"/>
      <c r="M72" s="54"/>
      <c r="N72" s="54"/>
    </row>
    <row r="73" spans="1:14" ht="13.5" thickBot="1" x14ac:dyDescent="0.25">
      <c r="A73" s="101"/>
      <c r="B73" s="138" t="s">
        <v>157</v>
      </c>
      <c r="C73" s="137">
        <f t="shared" ref="C73:N73" si="24">SUM(C62:C72)</f>
        <v>5</v>
      </c>
      <c r="D73" s="137">
        <f t="shared" si="24"/>
        <v>35000</v>
      </c>
      <c r="E73" s="137">
        <f t="shared" si="24"/>
        <v>0</v>
      </c>
      <c r="F73" s="137">
        <f t="shared" si="24"/>
        <v>0</v>
      </c>
      <c r="G73" s="137">
        <f t="shared" si="24"/>
        <v>2</v>
      </c>
      <c r="H73" s="137">
        <f t="shared" si="24"/>
        <v>16000</v>
      </c>
      <c r="I73" s="137">
        <f t="shared" si="24"/>
        <v>0</v>
      </c>
      <c r="J73" s="137">
        <f t="shared" si="24"/>
        <v>0</v>
      </c>
      <c r="K73" s="137">
        <f t="shared" si="24"/>
        <v>3</v>
      </c>
      <c r="L73" s="137">
        <f t="shared" si="24"/>
        <v>19000</v>
      </c>
      <c r="M73" s="137">
        <f t="shared" si="24"/>
        <v>0</v>
      </c>
      <c r="N73" s="137">
        <f t="shared" si="24"/>
        <v>0</v>
      </c>
    </row>
    <row r="74" spans="1:14" s="38" customFormat="1" x14ac:dyDescent="0.2">
      <c r="A74" s="59" t="s">
        <v>8</v>
      </c>
      <c r="B74" s="131" t="s">
        <v>86</v>
      </c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</row>
    <row r="75" spans="1:14" s="38" customFormat="1" x14ac:dyDescent="0.2">
      <c r="A75" s="27"/>
      <c r="B75" s="132" t="s">
        <v>87</v>
      </c>
      <c r="C75" s="65">
        <f t="shared" ref="C75:C76" si="25">G75+K75</f>
        <v>0</v>
      </c>
      <c r="D75" s="63">
        <f t="shared" ref="D75:D76" si="26">H75+L75</f>
        <v>0</v>
      </c>
      <c r="E75" s="63">
        <f t="shared" ref="E75:E76" si="27">I75+M75</f>
        <v>0</v>
      </c>
      <c r="F75" s="63">
        <f t="shared" ref="F75:F76" si="28">J75+N75</f>
        <v>0</v>
      </c>
      <c r="G75" s="26"/>
      <c r="H75" s="116"/>
      <c r="I75" s="21"/>
      <c r="J75" s="26"/>
      <c r="K75" s="26"/>
      <c r="L75" s="118"/>
      <c r="M75" s="21"/>
      <c r="N75" s="26"/>
    </row>
    <row r="76" spans="1:14" s="38" customFormat="1" ht="26.25" thickBot="1" x14ac:dyDescent="0.25">
      <c r="A76" s="27"/>
      <c r="B76" s="132" t="s">
        <v>88</v>
      </c>
      <c r="C76" s="65">
        <f t="shared" si="25"/>
        <v>0</v>
      </c>
      <c r="D76" s="63">
        <f t="shared" si="26"/>
        <v>0</v>
      </c>
      <c r="E76" s="63">
        <f t="shared" si="27"/>
        <v>0</v>
      </c>
      <c r="F76" s="63">
        <f t="shared" si="28"/>
        <v>0</v>
      </c>
      <c r="G76" s="26"/>
      <c r="H76" s="116"/>
      <c r="I76" s="21"/>
      <c r="J76" s="26"/>
      <c r="K76" s="26"/>
      <c r="L76" s="118"/>
      <c r="M76" s="21"/>
      <c r="N76" s="26"/>
    </row>
    <row r="77" spans="1:14" ht="13.5" thickBot="1" x14ac:dyDescent="0.25">
      <c r="A77" s="285"/>
      <c r="B77" s="286" t="s">
        <v>158</v>
      </c>
      <c r="C77" s="287">
        <f>SUM(C75:C76)</f>
        <v>0</v>
      </c>
      <c r="D77" s="287">
        <f t="shared" ref="D77:N77" si="29">SUM(D75:D76)</f>
        <v>0</v>
      </c>
      <c r="E77" s="287">
        <f t="shared" si="29"/>
        <v>0</v>
      </c>
      <c r="F77" s="287">
        <f t="shared" si="29"/>
        <v>0</v>
      </c>
      <c r="G77" s="287">
        <f t="shared" si="29"/>
        <v>0</v>
      </c>
      <c r="H77" s="287">
        <f t="shared" si="29"/>
        <v>0</v>
      </c>
      <c r="I77" s="287">
        <f t="shared" si="29"/>
        <v>0</v>
      </c>
      <c r="J77" s="287">
        <f t="shared" si="29"/>
        <v>0</v>
      </c>
      <c r="K77" s="287">
        <f t="shared" si="29"/>
        <v>0</v>
      </c>
      <c r="L77" s="287">
        <f t="shared" si="29"/>
        <v>0</v>
      </c>
      <c r="M77" s="287">
        <f t="shared" si="29"/>
        <v>0</v>
      </c>
      <c r="N77" s="287">
        <f t="shared" si="29"/>
        <v>0</v>
      </c>
    </row>
    <row r="78" spans="1:14" x14ac:dyDescent="0.2">
      <c r="A78" s="210" t="s">
        <v>10</v>
      </c>
      <c r="B78" s="211" t="s">
        <v>90</v>
      </c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4"/>
    </row>
    <row r="79" spans="1:14" s="38" customFormat="1" ht="15" x14ac:dyDescent="0.25">
      <c r="A79" s="25"/>
      <c r="B79" s="205" t="s">
        <v>91</v>
      </c>
      <c r="C79" s="64">
        <f t="shared" ref="C79:F80" si="30">G79+K79</f>
        <v>2</v>
      </c>
      <c r="D79" s="64">
        <f t="shared" si="30"/>
        <v>1100000</v>
      </c>
      <c r="E79" s="64">
        <f t="shared" si="30"/>
        <v>0</v>
      </c>
      <c r="F79" s="64">
        <f t="shared" si="30"/>
        <v>0</v>
      </c>
      <c r="G79" s="47">
        <v>1</v>
      </c>
      <c r="H79" s="119">
        <f>G79*550000</f>
        <v>550000</v>
      </c>
      <c r="I79" s="54"/>
      <c r="J79" s="54"/>
      <c r="K79" s="54">
        <v>1</v>
      </c>
      <c r="L79" s="119">
        <f>K79*550000</f>
        <v>550000</v>
      </c>
      <c r="M79" s="54"/>
      <c r="N79" s="180"/>
    </row>
    <row r="80" spans="1:14" s="38" customFormat="1" x14ac:dyDescent="0.2">
      <c r="A80" s="25"/>
      <c r="B80" s="205" t="s">
        <v>92</v>
      </c>
      <c r="C80" s="64">
        <f t="shared" si="30"/>
        <v>2</v>
      </c>
      <c r="D80" s="64">
        <f t="shared" si="30"/>
        <v>900000</v>
      </c>
      <c r="E80" s="64">
        <f t="shared" si="30"/>
        <v>0</v>
      </c>
      <c r="F80" s="64">
        <f t="shared" si="30"/>
        <v>0</v>
      </c>
      <c r="G80" s="54">
        <v>1</v>
      </c>
      <c r="H80" s="119">
        <f>G80*450000</f>
        <v>450000</v>
      </c>
      <c r="I80" s="54"/>
      <c r="J80" s="54"/>
      <c r="K80" s="54">
        <v>1</v>
      </c>
      <c r="L80" s="119">
        <f>K80*450000</f>
        <v>450000</v>
      </c>
      <c r="M80" s="54"/>
      <c r="N80" s="180"/>
    </row>
    <row r="81" spans="1:14" s="38" customFormat="1" x14ac:dyDescent="0.2">
      <c r="A81" s="25"/>
      <c r="B81" s="205" t="s">
        <v>93</v>
      </c>
      <c r="C81" s="64"/>
      <c r="D81" s="64"/>
      <c r="E81" s="64"/>
      <c r="F81" s="64"/>
      <c r="G81" s="54">
        <v>0</v>
      </c>
      <c r="H81" s="119">
        <f>G81*15000</f>
        <v>0</v>
      </c>
      <c r="I81" s="54"/>
      <c r="J81" s="54"/>
      <c r="K81" s="54">
        <v>0</v>
      </c>
      <c r="L81" s="119">
        <f>K81*15000</f>
        <v>0</v>
      </c>
      <c r="M81" s="54"/>
      <c r="N81" s="180"/>
    </row>
    <row r="82" spans="1:14" s="38" customFormat="1" x14ac:dyDescent="0.2">
      <c r="A82" s="25"/>
      <c r="B82" s="205" t="s">
        <v>94</v>
      </c>
      <c r="C82" s="64">
        <f>G82+K82</f>
        <v>0</v>
      </c>
      <c r="D82" s="64">
        <f>H82+L82</f>
        <v>0</v>
      </c>
      <c r="E82" s="64">
        <f>I82+M82</f>
        <v>0</v>
      </c>
      <c r="F82" s="64">
        <f>J82+N82</f>
        <v>0</v>
      </c>
      <c r="G82" s="54">
        <v>0</v>
      </c>
      <c r="H82" s="119">
        <f>G82*130000</f>
        <v>0</v>
      </c>
      <c r="I82" s="54"/>
      <c r="J82" s="54"/>
      <c r="K82" s="54">
        <v>0</v>
      </c>
      <c r="L82" s="119">
        <f>K82*130000</f>
        <v>0</v>
      </c>
      <c r="M82" s="54"/>
      <c r="N82" s="180"/>
    </row>
    <row r="83" spans="1:14" s="38" customFormat="1" ht="15" x14ac:dyDescent="0.25">
      <c r="A83" s="25"/>
      <c r="B83" s="48" t="s">
        <v>95</v>
      </c>
      <c r="C83" s="64">
        <f t="shared" ref="C83:C91" si="31">G83+K83</f>
        <v>0</v>
      </c>
      <c r="D83" s="64">
        <f t="shared" ref="D83:D91" si="32">H83+L83</f>
        <v>0</v>
      </c>
      <c r="E83" s="64">
        <f t="shared" ref="E83:E91" si="33">I83+M83</f>
        <v>0</v>
      </c>
      <c r="F83" s="64">
        <f t="shared" ref="F83:F91" si="34">J83+N83</f>
        <v>0</v>
      </c>
      <c r="G83" s="47">
        <v>0</v>
      </c>
      <c r="H83" s="119">
        <f>G83*5000</f>
        <v>0</v>
      </c>
      <c r="I83" s="54"/>
      <c r="J83" s="54"/>
      <c r="K83" s="47">
        <v>0</v>
      </c>
      <c r="L83" s="119">
        <f>K83*5000</f>
        <v>0</v>
      </c>
      <c r="M83" s="54"/>
      <c r="N83" s="180"/>
    </row>
    <row r="84" spans="1:14" s="141" customFormat="1" ht="15" customHeight="1" x14ac:dyDescent="0.2">
      <c r="A84" s="25"/>
      <c r="B84" s="205" t="s">
        <v>96</v>
      </c>
      <c r="C84" s="64">
        <f t="shared" ref="C84:F89" si="35">G84+K84</f>
        <v>0</v>
      </c>
      <c r="D84" s="64">
        <f t="shared" si="35"/>
        <v>0</v>
      </c>
      <c r="E84" s="64">
        <f t="shared" si="35"/>
        <v>0</v>
      </c>
      <c r="F84" s="64">
        <f t="shared" si="35"/>
        <v>0</v>
      </c>
      <c r="G84" s="54">
        <v>0</v>
      </c>
      <c r="H84" s="119">
        <f>G84*5000</f>
        <v>0</v>
      </c>
      <c r="I84" s="54"/>
      <c r="J84" s="54"/>
      <c r="K84" s="54">
        <v>0</v>
      </c>
      <c r="L84" s="119">
        <f>K84*5000</f>
        <v>0</v>
      </c>
      <c r="M84" s="54"/>
      <c r="N84" s="180"/>
    </row>
    <row r="85" spans="1:14" s="141" customFormat="1" ht="15" customHeight="1" x14ac:dyDescent="0.25">
      <c r="A85" s="25"/>
      <c r="B85" s="205" t="s">
        <v>97</v>
      </c>
      <c r="C85" s="64">
        <f t="shared" si="35"/>
        <v>2</v>
      </c>
      <c r="D85" s="64">
        <f t="shared" si="35"/>
        <v>14000</v>
      </c>
      <c r="E85" s="64">
        <f t="shared" si="35"/>
        <v>0</v>
      </c>
      <c r="F85" s="64">
        <f t="shared" si="35"/>
        <v>0</v>
      </c>
      <c r="G85" s="47">
        <v>0</v>
      </c>
      <c r="H85" s="119">
        <f>G85*7000</f>
        <v>0</v>
      </c>
      <c r="I85" s="54"/>
      <c r="J85" s="54"/>
      <c r="K85" s="54">
        <v>2</v>
      </c>
      <c r="L85" s="119">
        <f>K85*7000</f>
        <v>14000</v>
      </c>
      <c r="M85" s="54"/>
      <c r="N85" s="180"/>
    </row>
    <row r="86" spans="1:14" s="141" customFormat="1" ht="15" customHeight="1" x14ac:dyDescent="0.25">
      <c r="A86" s="25"/>
      <c r="B86" s="205" t="s">
        <v>98</v>
      </c>
      <c r="C86" s="64">
        <f t="shared" si="35"/>
        <v>7</v>
      </c>
      <c r="D86" s="64">
        <f t="shared" si="35"/>
        <v>56000</v>
      </c>
      <c r="E86" s="64">
        <f t="shared" si="35"/>
        <v>0</v>
      </c>
      <c r="F86" s="64">
        <f t="shared" si="35"/>
        <v>0</v>
      </c>
      <c r="G86" s="47">
        <v>7</v>
      </c>
      <c r="H86" s="119">
        <f>G86*8000</f>
        <v>56000</v>
      </c>
      <c r="I86" s="54"/>
      <c r="J86" s="54"/>
      <c r="K86" s="54">
        <v>0</v>
      </c>
      <c r="L86" s="119">
        <f>K86*8000</f>
        <v>0</v>
      </c>
      <c r="M86" s="54"/>
      <c r="N86" s="180"/>
    </row>
    <row r="87" spans="1:14" s="38" customFormat="1" ht="15" x14ac:dyDescent="0.25">
      <c r="A87" s="25"/>
      <c r="B87" s="205" t="s">
        <v>99</v>
      </c>
      <c r="C87" s="64">
        <f t="shared" si="35"/>
        <v>0</v>
      </c>
      <c r="D87" s="64">
        <f t="shared" si="35"/>
        <v>0</v>
      </c>
      <c r="E87" s="64">
        <f t="shared" si="35"/>
        <v>0</v>
      </c>
      <c r="F87" s="64">
        <f t="shared" si="35"/>
        <v>0</v>
      </c>
      <c r="G87" s="47">
        <v>0</v>
      </c>
      <c r="H87" s="119">
        <f>G87*8000</f>
        <v>0</v>
      </c>
      <c r="I87" s="54"/>
      <c r="J87" s="54"/>
      <c r="K87" s="47">
        <v>0</v>
      </c>
      <c r="L87" s="119">
        <f>K87*8000</f>
        <v>0</v>
      </c>
      <c r="M87" s="54"/>
      <c r="N87" s="180"/>
    </row>
    <row r="88" spans="1:14" s="141" customFormat="1" ht="15" customHeight="1" x14ac:dyDescent="0.2">
      <c r="A88" s="25"/>
      <c r="B88" s="205" t="s">
        <v>100</v>
      </c>
      <c r="C88" s="64">
        <f t="shared" si="35"/>
        <v>0</v>
      </c>
      <c r="D88" s="64">
        <f t="shared" si="35"/>
        <v>0</v>
      </c>
      <c r="E88" s="64">
        <f t="shared" si="35"/>
        <v>0</v>
      </c>
      <c r="F88" s="64">
        <f t="shared" si="35"/>
        <v>0</v>
      </c>
      <c r="G88" s="54">
        <v>0</v>
      </c>
      <c r="H88" s="119">
        <f>G88*25000</f>
        <v>0</v>
      </c>
      <c r="I88" s="54"/>
      <c r="J88" s="54"/>
      <c r="K88" s="54">
        <v>0</v>
      </c>
      <c r="L88" s="119">
        <f>K88*25000</f>
        <v>0</v>
      </c>
      <c r="M88" s="54"/>
      <c r="N88" s="180"/>
    </row>
    <row r="89" spans="1:14" s="141" customFormat="1" ht="15" customHeight="1" x14ac:dyDescent="0.2">
      <c r="A89" s="25"/>
      <c r="B89" s="205" t="s">
        <v>101</v>
      </c>
      <c r="C89" s="64">
        <f t="shared" si="35"/>
        <v>5</v>
      </c>
      <c r="D89" s="64">
        <f t="shared" si="35"/>
        <v>7500</v>
      </c>
      <c r="E89" s="64">
        <f t="shared" si="35"/>
        <v>0</v>
      </c>
      <c r="F89" s="64">
        <f t="shared" si="35"/>
        <v>0</v>
      </c>
      <c r="G89" s="54">
        <v>0</v>
      </c>
      <c r="H89" s="119">
        <f>G89*1500</f>
        <v>0</v>
      </c>
      <c r="I89" s="54"/>
      <c r="J89" s="54"/>
      <c r="K89" s="54">
        <v>5</v>
      </c>
      <c r="L89" s="119">
        <f>K89*1500</f>
        <v>7500</v>
      </c>
      <c r="M89" s="54"/>
      <c r="N89" s="180"/>
    </row>
    <row r="90" spans="1:14" s="38" customFormat="1" ht="15" x14ac:dyDescent="0.25">
      <c r="A90" s="25"/>
      <c r="B90" s="205" t="s">
        <v>102</v>
      </c>
      <c r="C90" s="64">
        <f t="shared" si="31"/>
        <v>9</v>
      </c>
      <c r="D90" s="64">
        <f t="shared" si="32"/>
        <v>315000</v>
      </c>
      <c r="E90" s="64">
        <f t="shared" si="33"/>
        <v>0</v>
      </c>
      <c r="F90" s="64">
        <f t="shared" si="34"/>
        <v>0</v>
      </c>
      <c r="G90" s="47">
        <v>4</v>
      </c>
      <c r="H90" s="119">
        <f>G90*35000</f>
        <v>140000</v>
      </c>
      <c r="I90" s="54"/>
      <c r="J90" s="54"/>
      <c r="K90" s="47">
        <v>5</v>
      </c>
      <c r="L90" s="119">
        <f>K90*35000</f>
        <v>175000</v>
      </c>
      <c r="M90" s="54"/>
      <c r="N90" s="180"/>
    </row>
    <row r="91" spans="1:14" s="141" customFormat="1" ht="15" customHeight="1" thickBot="1" x14ac:dyDescent="0.25">
      <c r="A91" s="181"/>
      <c r="B91" s="182" t="s">
        <v>103</v>
      </c>
      <c r="C91" s="239">
        <f t="shared" si="31"/>
        <v>0</v>
      </c>
      <c r="D91" s="239">
        <f t="shared" si="32"/>
        <v>0</v>
      </c>
      <c r="E91" s="239">
        <f t="shared" si="33"/>
        <v>0</v>
      </c>
      <c r="F91" s="239">
        <f t="shared" si="34"/>
        <v>0</v>
      </c>
      <c r="G91" s="200"/>
      <c r="H91" s="184"/>
      <c r="I91" s="200"/>
      <c r="J91" s="200"/>
      <c r="K91" s="200"/>
      <c r="L91" s="184"/>
      <c r="M91" s="200"/>
      <c r="N91" s="186"/>
    </row>
    <row r="92" spans="1:14" ht="13.5" thickBot="1" x14ac:dyDescent="0.25">
      <c r="A92" s="99"/>
      <c r="B92" s="284" t="s">
        <v>159</v>
      </c>
      <c r="C92" s="234">
        <f t="shared" ref="C92:N92" si="36">SUM(C79:C91)</f>
        <v>27</v>
      </c>
      <c r="D92" s="234">
        <f t="shared" si="36"/>
        <v>2392500</v>
      </c>
      <c r="E92" s="234">
        <f t="shared" si="36"/>
        <v>0</v>
      </c>
      <c r="F92" s="234">
        <f t="shared" si="36"/>
        <v>0</v>
      </c>
      <c r="G92" s="234">
        <f t="shared" si="36"/>
        <v>13</v>
      </c>
      <c r="H92" s="234">
        <f t="shared" si="36"/>
        <v>1196000</v>
      </c>
      <c r="I92" s="234">
        <f t="shared" si="36"/>
        <v>0</v>
      </c>
      <c r="J92" s="234">
        <f t="shared" si="36"/>
        <v>0</v>
      </c>
      <c r="K92" s="234">
        <f t="shared" si="36"/>
        <v>14</v>
      </c>
      <c r="L92" s="234">
        <f t="shared" si="36"/>
        <v>1196500</v>
      </c>
      <c r="M92" s="234">
        <f t="shared" si="36"/>
        <v>0</v>
      </c>
      <c r="N92" s="234">
        <f t="shared" si="36"/>
        <v>0</v>
      </c>
    </row>
    <row r="93" spans="1:14" x14ac:dyDescent="0.2">
      <c r="A93" s="210" t="s">
        <v>11</v>
      </c>
      <c r="B93" s="211" t="s">
        <v>104</v>
      </c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4"/>
    </row>
    <row r="94" spans="1:14" s="141" customFormat="1" ht="15" x14ac:dyDescent="0.25">
      <c r="A94" s="143"/>
      <c r="B94" s="205" t="s">
        <v>105</v>
      </c>
      <c r="C94" s="64">
        <f t="shared" ref="C94:C132" si="37">G94+K94</f>
        <v>0</v>
      </c>
      <c r="D94" s="64">
        <f t="shared" ref="D94:D132" si="38">H94+L94</f>
        <v>0</v>
      </c>
      <c r="E94" s="64">
        <f t="shared" ref="E94:E132" si="39">I94+M94</f>
        <v>0</v>
      </c>
      <c r="F94" s="64">
        <f t="shared" ref="F94:F132" si="40">J94+N94</f>
        <v>0</v>
      </c>
      <c r="G94" s="47"/>
      <c r="H94" s="119"/>
      <c r="I94" s="54"/>
      <c r="J94" s="54"/>
      <c r="K94" s="47"/>
      <c r="L94" s="119"/>
      <c r="M94" s="54"/>
      <c r="N94" s="180"/>
    </row>
    <row r="95" spans="1:14" s="38" customFormat="1" x14ac:dyDescent="0.2">
      <c r="A95" s="25"/>
      <c r="B95" s="48" t="s">
        <v>106</v>
      </c>
      <c r="C95" s="64">
        <f t="shared" ref="C95:C104" si="41">G95+K95</f>
        <v>0</v>
      </c>
      <c r="D95" s="64">
        <f t="shared" si="38"/>
        <v>0</v>
      </c>
      <c r="E95" s="64">
        <f t="shared" si="39"/>
        <v>0</v>
      </c>
      <c r="F95" s="64">
        <f t="shared" si="40"/>
        <v>0</v>
      </c>
      <c r="G95" s="54"/>
      <c r="H95" s="119"/>
      <c r="I95" s="54"/>
      <c r="J95" s="54"/>
      <c r="K95" s="54"/>
      <c r="L95" s="119"/>
      <c r="M95" s="54"/>
      <c r="N95" s="180"/>
    </row>
    <row r="96" spans="1:14" s="38" customFormat="1" x14ac:dyDescent="0.2">
      <c r="A96" s="25"/>
      <c r="B96" s="48" t="s">
        <v>107</v>
      </c>
      <c r="C96" s="64">
        <f t="shared" si="41"/>
        <v>0</v>
      </c>
      <c r="D96" s="64">
        <f t="shared" si="38"/>
        <v>0</v>
      </c>
      <c r="E96" s="64">
        <f t="shared" si="39"/>
        <v>0</v>
      </c>
      <c r="F96" s="64">
        <f t="shared" si="40"/>
        <v>0</v>
      </c>
      <c r="G96" s="54"/>
      <c r="H96" s="119"/>
      <c r="I96" s="54"/>
      <c r="J96" s="54"/>
      <c r="K96" s="54"/>
      <c r="L96" s="119"/>
      <c r="M96" s="54"/>
      <c r="N96" s="180"/>
    </row>
    <row r="97" spans="1:14" s="38" customFormat="1" ht="15" x14ac:dyDescent="0.25">
      <c r="A97" s="25"/>
      <c r="B97" s="208" t="s">
        <v>109</v>
      </c>
      <c r="C97" s="64">
        <f t="shared" si="41"/>
        <v>0</v>
      </c>
      <c r="D97" s="64">
        <f t="shared" si="38"/>
        <v>0</v>
      </c>
      <c r="E97" s="64">
        <f t="shared" si="39"/>
        <v>0</v>
      </c>
      <c r="F97" s="64">
        <f t="shared" si="40"/>
        <v>0</v>
      </c>
      <c r="G97" s="47"/>
      <c r="H97" s="119"/>
      <c r="I97" s="54"/>
      <c r="J97" s="54"/>
      <c r="K97" s="47"/>
      <c r="L97" s="119"/>
      <c r="M97" s="54"/>
      <c r="N97" s="180"/>
    </row>
    <row r="98" spans="1:14" s="38" customFormat="1" x14ac:dyDescent="0.2">
      <c r="A98" s="25"/>
      <c r="B98" s="208" t="s">
        <v>111</v>
      </c>
      <c r="C98" s="64">
        <f t="shared" si="41"/>
        <v>0</v>
      </c>
      <c r="D98" s="64">
        <f t="shared" si="38"/>
        <v>0</v>
      </c>
      <c r="E98" s="64">
        <f t="shared" si="39"/>
        <v>0</v>
      </c>
      <c r="F98" s="64">
        <f t="shared" si="40"/>
        <v>0</v>
      </c>
      <c r="G98" s="54"/>
      <c r="H98" s="119"/>
      <c r="I98" s="54"/>
      <c r="J98" s="54"/>
      <c r="K98" s="54"/>
      <c r="L98" s="119"/>
      <c r="M98" s="54"/>
      <c r="N98" s="180"/>
    </row>
    <row r="99" spans="1:14" s="38" customFormat="1" x14ac:dyDescent="0.2">
      <c r="A99" s="25"/>
      <c r="B99" s="208" t="s">
        <v>113</v>
      </c>
      <c r="C99" s="64">
        <f t="shared" si="41"/>
        <v>0</v>
      </c>
      <c r="D99" s="64">
        <f t="shared" si="38"/>
        <v>0</v>
      </c>
      <c r="E99" s="64">
        <f t="shared" si="39"/>
        <v>0</v>
      </c>
      <c r="F99" s="64">
        <f t="shared" si="40"/>
        <v>0</v>
      </c>
      <c r="G99" s="54"/>
      <c r="H99" s="119"/>
      <c r="I99" s="54"/>
      <c r="J99" s="54"/>
      <c r="K99" s="54"/>
      <c r="L99" s="119"/>
      <c r="M99" s="54"/>
      <c r="N99" s="180"/>
    </row>
    <row r="100" spans="1:14" s="38" customFormat="1" x14ac:dyDescent="0.2">
      <c r="A100" s="25"/>
      <c r="B100" s="208" t="s">
        <v>115</v>
      </c>
      <c r="C100" s="64">
        <f t="shared" si="41"/>
        <v>0</v>
      </c>
      <c r="D100" s="64">
        <f t="shared" si="38"/>
        <v>0</v>
      </c>
      <c r="E100" s="64">
        <f t="shared" si="39"/>
        <v>0</v>
      </c>
      <c r="F100" s="64">
        <f t="shared" si="40"/>
        <v>0</v>
      </c>
      <c r="G100" s="54"/>
      <c r="H100" s="119"/>
      <c r="I100" s="54"/>
      <c r="J100" s="54"/>
      <c r="K100" s="54"/>
      <c r="L100" s="119"/>
      <c r="M100" s="54"/>
      <c r="N100" s="180"/>
    </row>
    <row r="101" spans="1:14" s="38" customFormat="1" x14ac:dyDescent="0.2">
      <c r="A101" s="25"/>
      <c r="B101" s="208" t="s">
        <v>279</v>
      </c>
      <c r="C101" s="64"/>
      <c r="D101" s="64"/>
      <c r="E101" s="64"/>
      <c r="F101" s="64"/>
      <c r="G101" s="54"/>
      <c r="H101" s="119"/>
      <c r="I101" s="54"/>
      <c r="J101" s="54"/>
      <c r="K101" s="54"/>
      <c r="L101" s="119"/>
      <c r="M101" s="54"/>
      <c r="N101" s="180"/>
    </row>
    <row r="102" spans="1:14" s="38" customFormat="1" x14ac:dyDescent="0.2">
      <c r="A102" s="25"/>
      <c r="B102" s="205" t="s">
        <v>116</v>
      </c>
      <c r="C102" s="64">
        <f t="shared" si="41"/>
        <v>0</v>
      </c>
      <c r="D102" s="64">
        <f t="shared" si="38"/>
        <v>0</v>
      </c>
      <c r="E102" s="64">
        <f t="shared" si="39"/>
        <v>0</v>
      </c>
      <c r="F102" s="64">
        <f t="shared" si="40"/>
        <v>0</v>
      </c>
      <c r="G102" s="54"/>
      <c r="H102" s="119"/>
      <c r="I102" s="54"/>
      <c r="J102" s="54"/>
      <c r="K102" s="54"/>
      <c r="L102" s="119"/>
      <c r="M102" s="54"/>
      <c r="N102" s="180"/>
    </row>
    <row r="103" spans="1:14" s="141" customFormat="1" ht="15" x14ac:dyDescent="0.25">
      <c r="A103" s="25"/>
      <c r="B103" s="208" t="s">
        <v>117</v>
      </c>
      <c r="C103" s="64">
        <f t="shared" si="41"/>
        <v>0</v>
      </c>
      <c r="D103" s="64">
        <f t="shared" si="38"/>
        <v>0</v>
      </c>
      <c r="E103" s="64">
        <f t="shared" si="39"/>
        <v>0</v>
      </c>
      <c r="F103" s="64">
        <f t="shared" si="40"/>
        <v>0</v>
      </c>
      <c r="G103" s="54"/>
      <c r="H103" s="119"/>
      <c r="I103" s="54"/>
      <c r="J103" s="54"/>
      <c r="K103" s="47"/>
      <c r="L103" s="119"/>
      <c r="M103" s="54"/>
      <c r="N103" s="180"/>
    </row>
    <row r="104" spans="1:14" s="38" customFormat="1" x14ac:dyDescent="0.2">
      <c r="A104" s="25"/>
      <c r="B104" s="48" t="s">
        <v>118</v>
      </c>
      <c r="C104" s="64">
        <f t="shared" si="41"/>
        <v>0</v>
      </c>
      <c r="D104" s="64">
        <f t="shared" si="38"/>
        <v>0</v>
      </c>
      <c r="E104" s="64">
        <f t="shared" si="39"/>
        <v>0</v>
      </c>
      <c r="F104" s="64">
        <f t="shared" si="40"/>
        <v>0</v>
      </c>
      <c r="G104" s="54"/>
      <c r="H104" s="119"/>
      <c r="I104" s="54"/>
      <c r="J104" s="54"/>
      <c r="K104" s="54"/>
      <c r="L104" s="119"/>
      <c r="M104" s="54"/>
      <c r="N104" s="180"/>
    </row>
    <row r="105" spans="1:14" s="141" customFormat="1" x14ac:dyDescent="0.2">
      <c r="A105" s="143"/>
      <c r="B105" s="205" t="s">
        <v>119</v>
      </c>
      <c r="C105" s="64">
        <f t="shared" si="37"/>
        <v>0</v>
      </c>
      <c r="D105" s="64">
        <f t="shared" si="38"/>
        <v>0</v>
      </c>
      <c r="E105" s="64">
        <f t="shared" si="39"/>
        <v>0</v>
      </c>
      <c r="F105" s="64">
        <f t="shared" si="40"/>
        <v>0</v>
      </c>
      <c r="G105" s="54"/>
      <c r="H105" s="119"/>
      <c r="I105" s="54"/>
      <c r="J105" s="54"/>
      <c r="K105" s="54"/>
      <c r="L105" s="119"/>
      <c r="M105" s="54"/>
      <c r="N105" s="180"/>
    </row>
    <row r="106" spans="1:14" s="141" customFormat="1" x14ac:dyDescent="0.2">
      <c r="A106" s="143"/>
      <c r="B106" s="48" t="s">
        <v>120</v>
      </c>
      <c r="C106" s="64">
        <f t="shared" si="37"/>
        <v>0</v>
      </c>
      <c r="D106" s="64">
        <f t="shared" si="38"/>
        <v>0</v>
      </c>
      <c r="E106" s="64">
        <f t="shared" si="39"/>
        <v>0</v>
      </c>
      <c r="F106" s="64">
        <f t="shared" si="40"/>
        <v>0</v>
      </c>
      <c r="G106" s="54"/>
      <c r="H106" s="119"/>
      <c r="I106" s="54"/>
      <c r="J106" s="54"/>
      <c r="K106" s="54"/>
      <c r="L106" s="119"/>
      <c r="M106" s="54"/>
      <c r="N106" s="180"/>
    </row>
    <row r="107" spans="1:14" s="38" customFormat="1" ht="25.5" x14ac:dyDescent="0.2">
      <c r="A107" s="25"/>
      <c r="B107" s="320" t="s">
        <v>122</v>
      </c>
      <c r="C107" s="64">
        <f t="shared" si="37"/>
        <v>0</v>
      </c>
      <c r="D107" s="64">
        <f t="shared" si="38"/>
        <v>0</v>
      </c>
      <c r="E107" s="64">
        <f t="shared" si="39"/>
        <v>0</v>
      </c>
      <c r="F107" s="64">
        <f t="shared" si="40"/>
        <v>0</v>
      </c>
      <c r="G107" s="54"/>
      <c r="H107" s="119"/>
      <c r="I107" s="54"/>
      <c r="J107" s="54"/>
      <c r="K107" s="54"/>
      <c r="L107" s="119"/>
      <c r="M107" s="54"/>
      <c r="N107" s="180"/>
    </row>
    <row r="108" spans="1:14" s="38" customFormat="1" ht="25.5" x14ac:dyDescent="0.2">
      <c r="A108" s="25"/>
      <c r="B108" s="209" t="s">
        <v>124</v>
      </c>
      <c r="C108" s="64">
        <f t="shared" si="37"/>
        <v>0</v>
      </c>
      <c r="D108" s="64">
        <f t="shared" si="38"/>
        <v>0</v>
      </c>
      <c r="E108" s="64">
        <f t="shared" si="39"/>
        <v>0</v>
      </c>
      <c r="F108" s="64">
        <f t="shared" si="40"/>
        <v>0</v>
      </c>
      <c r="G108" s="54"/>
      <c r="H108" s="119"/>
      <c r="I108" s="54"/>
      <c r="J108" s="54"/>
      <c r="K108" s="54"/>
      <c r="L108" s="119"/>
      <c r="M108" s="54"/>
      <c r="N108" s="180"/>
    </row>
    <row r="109" spans="1:14" s="38" customFormat="1" ht="25.5" x14ac:dyDescent="0.2">
      <c r="A109" s="25"/>
      <c r="B109" s="320" t="s">
        <v>126</v>
      </c>
      <c r="C109" s="64">
        <f t="shared" si="37"/>
        <v>0</v>
      </c>
      <c r="D109" s="64">
        <f t="shared" si="38"/>
        <v>0</v>
      </c>
      <c r="E109" s="64">
        <f t="shared" si="39"/>
        <v>0</v>
      </c>
      <c r="F109" s="64">
        <f t="shared" si="40"/>
        <v>0</v>
      </c>
      <c r="G109" s="54"/>
      <c r="H109" s="119"/>
      <c r="I109" s="54"/>
      <c r="J109" s="54"/>
      <c r="K109" s="54"/>
      <c r="L109" s="119"/>
      <c r="M109" s="54"/>
      <c r="N109" s="180"/>
    </row>
    <row r="110" spans="1:14" s="38" customFormat="1" ht="25.5" x14ac:dyDescent="0.2">
      <c r="A110" s="25"/>
      <c r="B110" s="320" t="s">
        <v>128</v>
      </c>
      <c r="C110" s="64">
        <f>G110+K110</f>
        <v>0</v>
      </c>
      <c r="D110" s="64">
        <f>H110+L110</f>
        <v>0</v>
      </c>
      <c r="E110" s="64">
        <f>I110+M110</f>
        <v>0</v>
      </c>
      <c r="F110" s="64">
        <f>J110+N110</f>
        <v>0</v>
      </c>
      <c r="G110" s="54"/>
      <c r="H110" s="119"/>
      <c r="I110" s="54"/>
      <c r="J110" s="54"/>
      <c r="K110" s="54"/>
      <c r="L110" s="119"/>
      <c r="M110" s="54"/>
      <c r="N110" s="180"/>
    </row>
    <row r="111" spans="1:14" s="38" customFormat="1" x14ac:dyDescent="0.2">
      <c r="A111" s="25"/>
      <c r="B111" s="320" t="s">
        <v>130</v>
      </c>
      <c r="C111" s="64">
        <f t="shared" si="37"/>
        <v>0</v>
      </c>
      <c r="D111" s="64">
        <f t="shared" si="38"/>
        <v>0</v>
      </c>
      <c r="E111" s="64">
        <f t="shared" si="39"/>
        <v>0</v>
      </c>
      <c r="F111" s="64">
        <f t="shared" si="40"/>
        <v>0</v>
      </c>
      <c r="G111" s="54"/>
      <c r="H111" s="119"/>
      <c r="I111" s="54"/>
      <c r="J111" s="54"/>
      <c r="K111" s="54"/>
      <c r="L111" s="119"/>
      <c r="M111" s="54"/>
      <c r="N111" s="180"/>
    </row>
    <row r="112" spans="1:14" s="38" customFormat="1" x14ac:dyDescent="0.2">
      <c r="A112" s="25"/>
      <c r="B112" s="320" t="s">
        <v>280</v>
      </c>
      <c r="C112" s="64">
        <f t="shared" ref="C112:F114" si="42">G112+K112</f>
        <v>0</v>
      </c>
      <c r="D112" s="64">
        <f t="shared" si="42"/>
        <v>0</v>
      </c>
      <c r="E112" s="64">
        <f t="shared" si="42"/>
        <v>0</v>
      </c>
      <c r="F112" s="64">
        <f t="shared" si="42"/>
        <v>0</v>
      </c>
      <c r="G112" s="54"/>
      <c r="H112" s="119"/>
      <c r="I112" s="54"/>
      <c r="J112" s="54"/>
      <c r="K112" s="54"/>
      <c r="L112" s="119"/>
      <c r="M112" s="54"/>
      <c r="N112" s="180"/>
    </row>
    <row r="113" spans="1:14" s="38" customFormat="1" x14ac:dyDescent="0.2">
      <c r="A113" s="25"/>
      <c r="B113" s="320" t="s">
        <v>133</v>
      </c>
      <c r="C113" s="64">
        <f t="shared" si="42"/>
        <v>0</v>
      </c>
      <c r="D113" s="64">
        <f t="shared" si="42"/>
        <v>0</v>
      </c>
      <c r="E113" s="64">
        <f t="shared" si="42"/>
        <v>0</v>
      </c>
      <c r="F113" s="64">
        <f t="shared" si="42"/>
        <v>0</v>
      </c>
      <c r="G113" s="54"/>
      <c r="H113" s="119"/>
      <c r="I113" s="54"/>
      <c r="J113" s="54"/>
      <c r="K113" s="54"/>
      <c r="L113" s="119"/>
      <c r="M113" s="54"/>
      <c r="N113" s="180"/>
    </row>
    <row r="114" spans="1:14" s="141" customFormat="1" ht="13.5" customHeight="1" x14ac:dyDescent="0.2">
      <c r="A114" s="25"/>
      <c r="B114" s="208" t="s">
        <v>134</v>
      </c>
      <c r="C114" s="64">
        <f t="shared" si="42"/>
        <v>0</v>
      </c>
      <c r="D114" s="64">
        <f t="shared" si="42"/>
        <v>0</v>
      </c>
      <c r="E114" s="64">
        <f t="shared" si="42"/>
        <v>0</v>
      </c>
      <c r="F114" s="64">
        <f t="shared" si="42"/>
        <v>0</v>
      </c>
      <c r="G114" s="54"/>
      <c r="H114" s="119"/>
      <c r="I114" s="54"/>
      <c r="J114" s="54"/>
      <c r="K114" s="54"/>
      <c r="L114" s="119"/>
      <c r="M114" s="54"/>
      <c r="N114" s="180"/>
    </row>
    <row r="115" spans="1:14" s="141" customFormat="1" ht="13.5" customHeight="1" x14ac:dyDescent="0.2">
      <c r="A115" s="25"/>
      <c r="B115" s="208" t="s">
        <v>135</v>
      </c>
      <c r="C115" s="64"/>
      <c r="D115" s="64"/>
      <c r="E115" s="64"/>
      <c r="F115" s="64"/>
      <c r="G115" s="54"/>
      <c r="H115" s="119"/>
      <c r="I115" s="54"/>
      <c r="J115" s="54"/>
      <c r="K115" s="54"/>
      <c r="L115" s="119"/>
      <c r="M115" s="54"/>
      <c r="N115" s="180"/>
    </row>
    <row r="116" spans="1:14" s="141" customFormat="1" ht="25.5" x14ac:dyDescent="0.2">
      <c r="A116" s="25"/>
      <c r="B116" s="208" t="s">
        <v>136</v>
      </c>
      <c r="C116" s="64"/>
      <c r="D116" s="64">
        <f>H116+L116</f>
        <v>0</v>
      </c>
      <c r="E116" s="64">
        <f>I116+M116</f>
        <v>0</v>
      </c>
      <c r="F116" s="64">
        <f>J116+N116</f>
        <v>0</v>
      </c>
      <c r="G116" s="54"/>
      <c r="H116" s="119"/>
      <c r="I116" s="54"/>
      <c r="J116" s="54"/>
      <c r="K116" s="54"/>
      <c r="L116" s="119"/>
      <c r="M116" s="54"/>
      <c r="N116" s="180"/>
    </row>
    <row r="117" spans="1:14" s="38" customFormat="1" x14ac:dyDescent="0.2">
      <c r="A117" s="25"/>
      <c r="B117" s="205" t="s">
        <v>137</v>
      </c>
      <c r="C117" s="64">
        <f t="shared" ref="C117:F122" si="43">G117+K117</f>
        <v>0</v>
      </c>
      <c r="D117" s="64">
        <f t="shared" si="43"/>
        <v>0</v>
      </c>
      <c r="E117" s="64">
        <f t="shared" si="43"/>
        <v>0</v>
      </c>
      <c r="F117" s="64">
        <f t="shared" si="43"/>
        <v>0</v>
      </c>
      <c r="G117" s="54"/>
      <c r="H117" s="119"/>
      <c r="I117" s="54"/>
      <c r="J117" s="54"/>
      <c r="K117" s="54"/>
      <c r="L117" s="119"/>
      <c r="M117" s="54"/>
      <c r="N117" s="180"/>
    </row>
    <row r="118" spans="1:14" s="38" customFormat="1" x14ac:dyDescent="0.2">
      <c r="A118" s="25"/>
      <c r="B118" s="205" t="s">
        <v>138</v>
      </c>
      <c r="C118" s="64">
        <f t="shared" si="43"/>
        <v>0</v>
      </c>
      <c r="D118" s="64">
        <f t="shared" si="43"/>
        <v>0</v>
      </c>
      <c r="E118" s="64">
        <f t="shared" si="43"/>
        <v>0</v>
      </c>
      <c r="F118" s="64">
        <f t="shared" si="43"/>
        <v>0</v>
      </c>
      <c r="G118" s="54"/>
      <c r="H118" s="119"/>
      <c r="I118" s="54"/>
      <c r="J118" s="54"/>
      <c r="K118" s="54"/>
      <c r="L118" s="119"/>
      <c r="M118" s="54"/>
      <c r="N118" s="180"/>
    </row>
    <row r="119" spans="1:14" s="38" customFormat="1" x14ac:dyDescent="0.2">
      <c r="A119" s="25"/>
      <c r="B119" s="48" t="s">
        <v>139</v>
      </c>
      <c r="C119" s="64">
        <f t="shared" si="43"/>
        <v>0</v>
      </c>
      <c r="D119" s="64">
        <f t="shared" si="43"/>
        <v>0</v>
      </c>
      <c r="E119" s="64">
        <f t="shared" si="43"/>
        <v>0</v>
      </c>
      <c r="F119" s="64">
        <f t="shared" si="43"/>
        <v>0</v>
      </c>
      <c r="G119" s="54"/>
      <c r="H119" s="119"/>
      <c r="I119" s="54"/>
      <c r="J119" s="54"/>
      <c r="K119" s="54"/>
      <c r="L119" s="119"/>
      <c r="M119" s="54"/>
      <c r="N119" s="180"/>
    </row>
    <row r="120" spans="1:14" s="38" customFormat="1" x14ac:dyDescent="0.2">
      <c r="A120" s="25"/>
      <c r="B120" s="48" t="s">
        <v>140</v>
      </c>
      <c r="C120" s="64">
        <f t="shared" si="43"/>
        <v>0</v>
      </c>
      <c r="D120" s="64">
        <f t="shared" si="43"/>
        <v>0</v>
      </c>
      <c r="E120" s="64">
        <f t="shared" si="43"/>
        <v>0</v>
      </c>
      <c r="F120" s="64">
        <f t="shared" si="43"/>
        <v>0</v>
      </c>
      <c r="G120" s="54"/>
      <c r="H120" s="119"/>
      <c r="I120" s="54"/>
      <c r="J120" s="54"/>
      <c r="K120" s="54"/>
      <c r="L120" s="119"/>
      <c r="M120" s="54"/>
      <c r="N120" s="180"/>
    </row>
    <row r="121" spans="1:14" s="38" customFormat="1" x14ac:dyDescent="0.2">
      <c r="A121" s="25"/>
      <c r="B121" s="48" t="s">
        <v>141</v>
      </c>
      <c r="C121" s="64">
        <f t="shared" si="43"/>
        <v>0</v>
      </c>
      <c r="D121" s="64">
        <f t="shared" si="43"/>
        <v>0</v>
      </c>
      <c r="E121" s="64">
        <f t="shared" si="43"/>
        <v>0</v>
      </c>
      <c r="F121" s="64">
        <f t="shared" si="43"/>
        <v>0</v>
      </c>
      <c r="G121" s="54"/>
      <c r="H121" s="119"/>
      <c r="I121" s="54"/>
      <c r="J121" s="54"/>
      <c r="K121" s="54"/>
      <c r="L121" s="119"/>
      <c r="M121" s="54"/>
      <c r="N121" s="180"/>
    </row>
    <row r="122" spans="1:14" s="38" customFormat="1" x14ac:dyDescent="0.2">
      <c r="A122" s="25"/>
      <c r="B122" s="48" t="s">
        <v>142</v>
      </c>
      <c r="C122" s="64">
        <f t="shared" si="43"/>
        <v>0</v>
      </c>
      <c r="D122" s="64">
        <f t="shared" si="43"/>
        <v>0</v>
      </c>
      <c r="E122" s="64">
        <f t="shared" si="43"/>
        <v>0</v>
      </c>
      <c r="F122" s="64">
        <f t="shared" si="43"/>
        <v>0</v>
      </c>
      <c r="G122" s="54"/>
      <c r="H122" s="119"/>
      <c r="I122" s="54"/>
      <c r="J122" s="54"/>
      <c r="K122" s="54"/>
      <c r="L122" s="119"/>
      <c r="M122" s="54"/>
      <c r="N122" s="180"/>
    </row>
    <row r="123" spans="1:14" s="38" customFormat="1" x14ac:dyDescent="0.2">
      <c r="A123" s="25"/>
      <c r="B123" s="205" t="s">
        <v>143</v>
      </c>
      <c r="C123" s="64">
        <f t="shared" ref="C123:F123" si="44">G123+K123</f>
        <v>0</v>
      </c>
      <c r="D123" s="64">
        <f t="shared" si="44"/>
        <v>0</v>
      </c>
      <c r="E123" s="64">
        <f t="shared" si="44"/>
        <v>0</v>
      </c>
      <c r="F123" s="64">
        <f t="shared" si="44"/>
        <v>0</v>
      </c>
      <c r="G123" s="54"/>
      <c r="H123" s="119"/>
      <c r="I123" s="54"/>
      <c r="J123" s="54"/>
      <c r="K123" s="54"/>
      <c r="L123" s="119"/>
      <c r="M123" s="54"/>
      <c r="N123" s="180"/>
    </row>
    <row r="124" spans="1:14" s="38" customFormat="1" x14ac:dyDescent="0.2">
      <c r="A124" s="25"/>
      <c r="B124" s="48" t="s">
        <v>144</v>
      </c>
      <c r="C124" s="64">
        <f t="shared" si="37"/>
        <v>0</v>
      </c>
      <c r="D124" s="64">
        <f t="shared" si="38"/>
        <v>0</v>
      </c>
      <c r="E124" s="64">
        <f t="shared" si="39"/>
        <v>0</v>
      </c>
      <c r="F124" s="64">
        <f t="shared" si="40"/>
        <v>0</v>
      </c>
      <c r="G124" s="54"/>
      <c r="H124" s="119"/>
      <c r="I124" s="54"/>
      <c r="J124" s="54"/>
      <c r="K124" s="54"/>
      <c r="L124" s="119"/>
      <c r="M124" s="54"/>
      <c r="N124" s="180"/>
    </row>
    <row r="125" spans="1:14" s="38" customFormat="1" ht="38.25" x14ac:dyDescent="0.2">
      <c r="A125" s="25"/>
      <c r="B125" s="205" t="s">
        <v>145</v>
      </c>
      <c r="C125" s="64">
        <f>G125+K125</f>
        <v>0</v>
      </c>
      <c r="D125" s="64">
        <f>H125+L125</f>
        <v>0</v>
      </c>
      <c r="E125" s="64">
        <f>I125+M125</f>
        <v>0</v>
      </c>
      <c r="F125" s="64">
        <f>J125+N125</f>
        <v>0</v>
      </c>
      <c r="G125" s="54"/>
      <c r="H125" s="119"/>
      <c r="I125" s="54"/>
      <c r="J125" s="54"/>
      <c r="K125" s="54"/>
      <c r="L125" s="119"/>
      <c r="M125" s="54"/>
      <c r="N125" s="180"/>
    </row>
    <row r="126" spans="1:14" s="38" customFormat="1" x14ac:dyDescent="0.2">
      <c r="A126" s="25"/>
      <c r="B126" s="205" t="s">
        <v>146</v>
      </c>
      <c r="C126" s="64"/>
      <c r="D126" s="64"/>
      <c r="E126" s="64"/>
      <c r="F126" s="64"/>
      <c r="G126" s="54"/>
      <c r="H126" s="119"/>
      <c r="I126" s="54"/>
      <c r="J126" s="54"/>
      <c r="K126" s="54"/>
      <c r="L126" s="119"/>
      <c r="M126" s="54"/>
      <c r="N126" s="180"/>
    </row>
    <row r="127" spans="1:14" s="38" customFormat="1" x14ac:dyDescent="0.2">
      <c r="A127" s="25"/>
      <c r="B127" s="205" t="s">
        <v>147</v>
      </c>
      <c r="C127" s="64"/>
      <c r="D127" s="64"/>
      <c r="E127" s="64"/>
      <c r="F127" s="64"/>
      <c r="G127" s="54"/>
      <c r="H127" s="119"/>
      <c r="I127" s="54"/>
      <c r="J127" s="54"/>
      <c r="K127" s="54"/>
      <c r="L127" s="119"/>
      <c r="M127" s="54"/>
      <c r="N127" s="180"/>
    </row>
    <row r="128" spans="1:14" s="38" customFormat="1" x14ac:dyDescent="0.2">
      <c r="A128" s="25"/>
      <c r="B128" s="205" t="s">
        <v>148</v>
      </c>
      <c r="C128" s="64"/>
      <c r="D128" s="64"/>
      <c r="E128" s="64"/>
      <c r="F128" s="64"/>
      <c r="G128" s="54"/>
      <c r="H128" s="119"/>
      <c r="I128" s="54"/>
      <c r="J128" s="54"/>
      <c r="K128" s="54"/>
      <c r="L128" s="119"/>
      <c r="M128" s="54"/>
      <c r="N128" s="180"/>
    </row>
    <row r="129" spans="1:14" s="53" customFormat="1" ht="25.5" x14ac:dyDescent="0.2">
      <c r="A129" s="25"/>
      <c r="B129" s="205" t="s">
        <v>149</v>
      </c>
      <c r="C129" s="64">
        <f t="shared" si="37"/>
        <v>0</v>
      </c>
      <c r="D129" s="64">
        <f t="shared" si="38"/>
        <v>0</v>
      </c>
      <c r="E129" s="64">
        <f t="shared" si="39"/>
        <v>0</v>
      </c>
      <c r="F129" s="64">
        <f t="shared" si="40"/>
        <v>0</v>
      </c>
      <c r="G129" s="54"/>
      <c r="H129" s="119"/>
      <c r="I129" s="54"/>
      <c r="J129" s="54"/>
      <c r="K129" s="54"/>
      <c r="L129" s="119"/>
      <c r="M129" s="54"/>
      <c r="N129" s="180"/>
    </row>
    <row r="130" spans="1:14" s="38" customFormat="1" x14ac:dyDescent="0.2">
      <c r="A130" s="25"/>
      <c r="B130" s="205" t="s">
        <v>150</v>
      </c>
      <c r="C130" s="64">
        <f t="shared" si="37"/>
        <v>0</v>
      </c>
      <c r="D130" s="64">
        <f t="shared" si="38"/>
        <v>0</v>
      </c>
      <c r="E130" s="64">
        <f t="shared" si="39"/>
        <v>0</v>
      </c>
      <c r="F130" s="64">
        <f t="shared" si="40"/>
        <v>0</v>
      </c>
      <c r="G130" s="54"/>
      <c r="H130" s="119"/>
      <c r="I130" s="54"/>
      <c r="J130" s="54"/>
      <c r="K130" s="54"/>
      <c r="L130" s="119"/>
      <c r="M130" s="54"/>
      <c r="N130" s="180"/>
    </row>
    <row r="131" spans="1:14" s="38" customFormat="1" x14ac:dyDescent="0.2">
      <c r="A131" s="25"/>
      <c r="B131" s="205" t="s">
        <v>151</v>
      </c>
      <c r="C131" s="64">
        <f t="shared" si="37"/>
        <v>2</v>
      </c>
      <c r="D131" s="64">
        <f t="shared" si="38"/>
        <v>20000</v>
      </c>
      <c r="E131" s="64">
        <f t="shared" si="39"/>
        <v>0</v>
      </c>
      <c r="F131" s="64">
        <f t="shared" si="40"/>
        <v>0</v>
      </c>
      <c r="G131" s="54">
        <v>1</v>
      </c>
      <c r="H131" s="119">
        <f>G131*10000</f>
        <v>10000</v>
      </c>
      <c r="I131" s="54"/>
      <c r="J131" s="54"/>
      <c r="K131" s="54">
        <v>1</v>
      </c>
      <c r="L131" s="119">
        <f>K131*10000</f>
        <v>10000</v>
      </c>
      <c r="M131" s="54"/>
      <c r="N131" s="180"/>
    </row>
    <row r="132" spans="1:14" s="38" customFormat="1" ht="13.5" thickBot="1" x14ac:dyDescent="0.25">
      <c r="A132" s="181"/>
      <c r="B132" s="182" t="s">
        <v>152</v>
      </c>
      <c r="C132" s="239">
        <f t="shared" si="37"/>
        <v>4</v>
      </c>
      <c r="D132" s="239">
        <f t="shared" si="38"/>
        <v>240000</v>
      </c>
      <c r="E132" s="239">
        <f t="shared" si="39"/>
        <v>0</v>
      </c>
      <c r="F132" s="239">
        <f t="shared" si="40"/>
        <v>0</v>
      </c>
      <c r="G132" s="200">
        <f>3</f>
        <v>3</v>
      </c>
      <c r="H132" s="184">
        <f>G132*60000</f>
        <v>180000</v>
      </c>
      <c r="I132" s="200"/>
      <c r="J132" s="200"/>
      <c r="K132" s="200">
        <f>1</f>
        <v>1</v>
      </c>
      <c r="L132" s="184">
        <f>K132*60000</f>
        <v>60000</v>
      </c>
      <c r="M132" s="200"/>
      <c r="N132" s="186"/>
    </row>
    <row r="133" spans="1:14" ht="13.5" thickBot="1" x14ac:dyDescent="0.25">
      <c r="A133" s="99"/>
      <c r="B133" s="284" t="s">
        <v>160</v>
      </c>
      <c r="C133" s="234">
        <f t="shared" ref="C133:N133" si="45">SUM(C94:C132)</f>
        <v>6</v>
      </c>
      <c r="D133" s="234">
        <f t="shared" si="45"/>
        <v>260000</v>
      </c>
      <c r="E133" s="234">
        <f t="shared" si="45"/>
        <v>0</v>
      </c>
      <c r="F133" s="234">
        <f t="shared" si="45"/>
        <v>0</v>
      </c>
      <c r="G133" s="234">
        <f t="shared" si="45"/>
        <v>4</v>
      </c>
      <c r="H133" s="234">
        <f t="shared" si="45"/>
        <v>190000</v>
      </c>
      <c r="I133" s="234">
        <f t="shared" si="45"/>
        <v>0</v>
      </c>
      <c r="J133" s="234">
        <f t="shared" si="45"/>
        <v>0</v>
      </c>
      <c r="K133" s="234">
        <f t="shared" si="45"/>
        <v>2</v>
      </c>
      <c r="L133" s="234">
        <f t="shared" si="45"/>
        <v>70000</v>
      </c>
      <c r="M133" s="234">
        <f t="shared" si="45"/>
        <v>0</v>
      </c>
      <c r="N133" s="234">
        <f t="shared" si="45"/>
        <v>0</v>
      </c>
    </row>
    <row r="134" spans="1:14" s="38" customFormat="1" x14ac:dyDescent="0.2">
      <c r="A134" s="210" t="s">
        <v>11</v>
      </c>
      <c r="B134" s="211" t="s">
        <v>153</v>
      </c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4"/>
    </row>
    <row r="135" spans="1:14" s="38" customFormat="1" ht="25.5" x14ac:dyDescent="0.25">
      <c r="A135" s="25"/>
      <c r="B135" s="205" t="s">
        <v>163</v>
      </c>
      <c r="C135" s="64">
        <f t="shared" ref="C135:C165" si="46">G135+K135</f>
        <v>5</v>
      </c>
      <c r="D135" s="64">
        <f t="shared" ref="D135:D165" si="47">H135+L135</f>
        <v>160000</v>
      </c>
      <c r="E135" s="64">
        <f t="shared" ref="E135:E165" si="48">I135+M135</f>
        <v>0</v>
      </c>
      <c r="F135" s="64">
        <f t="shared" ref="F135:F165" si="49">J135+N135</f>
        <v>0</v>
      </c>
      <c r="G135" s="54">
        <v>3</v>
      </c>
      <c r="H135" s="119">
        <v>80000</v>
      </c>
      <c r="I135" s="54"/>
      <c r="J135" s="54"/>
      <c r="K135" s="47">
        <v>2</v>
      </c>
      <c r="L135" s="119">
        <v>80000</v>
      </c>
      <c r="M135" s="54"/>
      <c r="N135" s="180"/>
    </row>
    <row r="136" spans="1:14" s="38" customFormat="1" ht="15" x14ac:dyDescent="0.25">
      <c r="A136" s="25"/>
      <c r="B136" s="205" t="s">
        <v>164</v>
      </c>
      <c r="C136" s="64">
        <f t="shared" si="46"/>
        <v>60</v>
      </c>
      <c r="D136" s="64">
        <f t="shared" si="47"/>
        <v>240000</v>
      </c>
      <c r="E136" s="64">
        <f t="shared" si="48"/>
        <v>0</v>
      </c>
      <c r="F136" s="64">
        <f t="shared" si="49"/>
        <v>0</v>
      </c>
      <c r="G136" s="47">
        <v>30</v>
      </c>
      <c r="H136" s="119">
        <v>120000</v>
      </c>
      <c r="I136" s="54"/>
      <c r="J136" s="54"/>
      <c r="K136" s="47">
        <v>30</v>
      </c>
      <c r="L136" s="119">
        <v>120000</v>
      </c>
      <c r="M136" s="54"/>
      <c r="N136" s="180"/>
    </row>
    <row r="137" spans="1:14" s="38" customFormat="1" x14ac:dyDescent="0.2">
      <c r="A137" s="25"/>
      <c r="B137" s="205" t="s">
        <v>165</v>
      </c>
      <c r="C137" s="64">
        <f t="shared" si="46"/>
        <v>0</v>
      </c>
      <c r="D137" s="64">
        <f t="shared" si="47"/>
        <v>0</v>
      </c>
      <c r="E137" s="64">
        <f t="shared" si="48"/>
        <v>0</v>
      </c>
      <c r="F137" s="64">
        <f t="shared" si="49"/>
        <v>0</v>
      </c>
      <c r="G137" s="54"/>
      <c r="H137" s="119"/>
      <c r="I137" s="54"/>
      <c r="J137" s="54"/>
      <c r="K137" s="54"/>
      <c r="L137" s="119"/>
      <c r="M137" s="54"/>
      <c r="N137" s="180"/>
    </row>
    <row r="138" spans="1:14" s="38" customFormat="1" x14ac:dyDescent="0.2">
      <c r="A138" s="25"/>
      <c r="B138" s="205" t="s">
        <v>166</v>
      </c>
      <c r="C138" s="64">
        <f t="shared" si="46"/>
        <v>31</v>
      </c>
      <c r="D138" s="64">
        <f t="shared" si="47"/>
        <v>127000</v>
      </c>
      <c r="E138" s="64">
        <f t="shared" si="48"/>
        <v>0</v>
      </c>
      <c r="F138" s="64">
        <f t="shared" si="49"/>
        <v>0</v>
      </c>
      <c r="G138" s="54">
        <v>16</v>
      </c>
      <c r="H138" s="119">
        <v>76000</v>
      </c>
      <c r="I138" s="54"/>
      <c r="J138" s="54"/>
      <c r="K138" s="54">
        <v>15</v>
      </c>
      <c r="L138" s="119">
        <v>51000</v>
      </c>
      <c r="M138" s="54"/>
      <c r="N138" s="180"/>
    </row>
    <row r="139" spans="1:14" s="38" customFormat="1" ht="25.5" x14ac:dyDescent="0.2">
      <c r="A139" s="25"/>
      <c r="B139" s="205" t="s">
        <v>167</v>
      </c>
      <c r="C139" s="64">
        <f t="shared" si="46"/>
        <v>0</v>
      </c>
      <c r="D139" s="64">
        <f t="shared" si="47"/>
        <v>0</v>
      </c>
      <c r="E139" s="64">
        <f t="shared" si="48"/>
        <v>0</v>
      </c>
      <c r="F139" s="64">
        <f t="shared" si="49"/>
        <v>0</v>
      </c>
      <c r="G139" s="54"/>
      <c r="H139" s="119"/>
      <c r="I139" s="54"/>
      <c r="J139" s="54"/>
      <c r="K139" s="54"/>
      <c r="L139" s="119"/>
      <c r="M139" s="54"/>
      <c r="N139" s="180"/>
    </row>
    <row r="140" spans="1:14" s="38" customFormat="1" x14ac:dyDescent="0.2">
      <c r="A140" s="25"/>
      <c r="B140" s="40" t="s">
        <v>168</v>
      </c>
      <c r="C140" s="64">
        <f t="shared" si="46"/>
        <v>0</v>
      </c>
      <c r="D140" s="64">
        <f t="shared" si="47"/>
        <v>0</v>
      </c>
      <c r="E140" s="64">
        <f t="shared" si="48"/>
        <v>0</v>
      </c>
      <c r="F140" s="64">
        <f t="shared" si="49"/>
        <v>0</v>
      </c>
      <c r="G140" s="54"/>
      <c r="H140" s="119"/>
      <c r="I140" s="54"/>
      <c r="J140" s="54"/>
      <c r="K140" s="54"/>
      <c r="L140" s="119"/>
      <c r="M140" s="54"/>
      <c r="N140" s="180"/>
    </row>
    <row r="141" spans="1:14" s="38" customFormat="1" x14ac:dyDescent="0.2">
      <c r="A141" s="25"/>
      <c r="B141" s="40" t="s">
        <v>169</v>
      </c>
      <c r="C141" s="64">
        <f t="shared" si="46"/>
        <v>0</v>
      </c>
      <c r="D141" s="64">
        <f t="shared" si="47"/>
        <v>0</v>
      </c>
      <c r="E141" s="64">
        <f t="shared" si="48"/>
        <v>0</v>
      </c>
      <c r="F141" s="64">
        <f t="shared" si="49"/>
        <v>0</v>
      </c>
      <c r="G141" s="54"/>
      <c r="H141" s="119"/>
      <c r="I141" s="54"/>
      <c r="J141" s="54"/>
      <c r="K141" s="54"/>
      <c r="L141" s="119"/>
      <c r="M141" s="54"/>
      <c r="N141" s="180"/>
    </row>
    <row r="142" spans="1:14" s="38" customFormat="1" x14ac:dyDescent="0.2">
      <c r="A142" s="25"/>
      <c r="B142" s="40" t="s">
        <v>170</v>
      </c>
      <c r="C142" s="64">
        <f t="shared" si="46"/>
        <v>0</v>
      </c>
      <c r="D142" s="64">
        <f t="shared" si="47"/>
        <v>0</v>
      </c>
      <c r="E142" s="64">
        <f t="shared" si="48"/>
        <v>0</v>
      </c>
      <c r="F142" s="64">
        <f t="shared" si="49"/>
        <v>0</v>
      </c>
      <c r="G142" s="54"/>
      <c r="H142" s="119"/>
      <c r="I142" s="54"/>
      <c r="J142" s="54"/>
      <c r="K142" s="54"/>
      <c r="L142" s="119"/>
      <c r="M142" s="54"/>
      <c r="N142" s="180"/>
    </row>
    <row r="143" spans="1:14" s="38" customFormat="1" x14ac:dyDescent="0.2">
      <c r="A143" s="25"/>
      <c r="B143" s="40" t="s">
        <v>277</v>
      </c>
      <c r="C143" s="64"/>
      <c r="D143" s="64"/>
      <c r="E143" s="64"/>
      <c r="F143" s="64"/>
      <c r="G143" s="54"/>
      <c r="H143" s="119"/>
      <c r="I143" s="54"/>
      <c r="J143" s="54"/>
      <c r="K143" s="54"/>
      <c r="L143" s="119"/>
      <c r="M143" s="54"/>
      <c r="N143" s="180"/>
    </row>
    <row r="144" spans="1:14" s="38" customFormat="1" x14ac:dyDescent="0.2">
      <c r="A144" s="25"/>
      <c r="B144" s="40" t="s">
        <v>278</v>
      </c>
      <c r="C144" s="64"/>
      <c r="D144" s="64"/>
      <c r="E144" s="64"/>
      <c r="F144" s="64"/>
      <c r="G144" s="54"/>
      <c r="H144" s="119"/>
      <c r="I144" s="54"/>
      <c r="J144" s="54"/>
      <c r="K144" s="54"/>
      <c r="L144" s="119"/>
      <c r="M144" s="54"/>
      <c r="N144" s="180"/>
    </row>
    <row r="145" spans="1:14" s="38" customFormat="1" x14ac:dyDescent="0.2">
      <c r="A145" s="25"/>
      <c r="B145" s="40" t="s">
        <v>171</v>
      </c>
      <c r="C145" s="64">
        <f t="shared" si="46"/>
        <v>0</v>
      </c>
      <c r="D145" s="64">
        <f t="shared" si="47"/>
        <v>0</v>
      </c>
      <c r="E145" s="64">
        <f t="shared" si="48"/>
        <v>0</v>
      </c>
      <c r="F145" s="64">
        <f t="shared" si="49"/>
        <v>0</v>
      </c>
      <c r="G145" s="54"/>
      <c r="H145" s="119"/>
      <c r="I145" s="54"/>
      <c r="J145" s="54"/>
      <c r="K145" s="54"/>
      <c r="L145" s="119"/>
      <c r="M145" s="54"/>
      <c r="N145" s="180"/>
    </row>
    <row r="146" spans="1:14" s="38" customFormat="1" x14ac:dyDescent="0.2">
      <c r="A146" s="25"/>
      <c r="B146" s="24" t="s">
        <v>172</v>
      </c>
      <c r="C146" s="64">
        <f t="shared" si="46"/>
        <v>0</v>
      </c>
      <c r="D146" s="64">
        <f t="shared" si="47"/>
        <v>0</v>
      </c>
      <c r="E146" s="64">
        <f t="shared" si="48"/>
        <v>0</v>
      </c>
      <c r="F146" s="64">
        <f t="shared" si="49"/>
        <v>0</v>
      </c>
      <c r="G146" s="54"/>
      <c r="H146" s="119"/>
      <c r="I146" s="54"/>
      <c r="J146" s="54"/>
      <c r="K146" s="54"/>
      <c r="L146" s="119"/>
      <c r="M146" s="54"/>
      <c r="N146" s="180"/>
    </row>
    <row r="147" spans="1:14" s="38" customFormat="1" ht="15" x14ac:dyDescent="0.25">
      <c r="A147" s="25"/>
      <c r="B147" s="40" t="s">
        <v>173</v>
      </c>
      <c r="C147" s="64">
        <f t="shared" si="46"/>
        <v>0</v>
      </c>
      <c r="D147" s="64">
        <f t="shared" si="47"/>
        <v>0</v>
      </c>
      <c r="E147" s="64">
        <f t="shared" si="48"/>
        <v>0</v>
      </c>
      <c r="F147" s="64">
        <f t="shared" si="49"/>
        <v>0</v>
      </c>
      <c r="G147" s="47"/>
      <c r="H147" s="119"/>
      <c r="I147" s="54"/>
      <c r="J147" s="54"/>
      <c r="K147" s="54"/>
      <c r="L147" s="119"/>
      <c r="M147" s="54"/>
      <c r="N147" s="180"/>
    </row>
    <row r="148" spans="1:14" s="38" customFormat="1" x14ac:dyDescent="0.2">
      <c r="A148" s="25"/>
      <c r="B148" s="40" t="s">
        <v>174</v>
      </c>
      <c r="C148" s="64">
        <f t="shared" si="46"/>
        <v>0</v>
      </c>
      <c r="D148" s="64">
        <f t="shared" si="47"/>
        <v>0</v>
      </c>
      <c r="E148" s="64">
        <f t="shared" si="48"/>
        <v>0</v>
      </c>
      <c r="F148" s="64">
        <f t="shared" si="49"/>
        <v>0</v>
      </c>
      <c r="G148" s="54"/>
      <c r="H148" s="119"/>
      <c r="I148" s="54"/>
      <c r="J148" s="54"/>
      <c r="K148" s="54"/>
      <c r="L148" s="119"/>
      <c r="M148" s="54"/>
      <c r="N148" s="180"/>
    </row>
    <row r="149" spans="1:14" s="38" customFormat="1" x14ac:dyDescent="0.2">
      <c r="A149" s="25"/>
      <c r="B149" s="40" t="s">
        <v>175</v>
      </c>
      <c r="C149" s="64">
        <f t="shared" ref="C149:F151" si="50">G149+K149</f>
        <v>0</v>
      </c>
      <c r="D149" s="64">
        <f t="shared" si="50"/>
        <v>0</v>
      </c>
      <c r="E149" s="64">
        <f t="shared" si="50"/>
        <v>0</v>
      </c>
      <c r="F149" s="64">
        <f t="shared" si="50"/>
        <v>0</v>
      </c>
      <c r="G149" s="54"/>
      <c r="H149" s="119"/>
      <c r="I149" s="54"/>
      <c r="J149" s="54"/>
      <c r="K149" s="54"/>
      <c r="L149" s="119"/>
      <c r="M149" s="54"/>
      <c r="N149" s="180"/>
    </row>
    <row r="150" spans="1:14" s="38" customFormat="1" ht="27.75" customHeight="1" x14ac:dyDescent="0.2">
      <c r="A150" s="25"/>
      <c r="B150" s="40" t="s">
        <v>176</v>
      </c>
      <c r="C150" s="64">
        <f t="shared" si="50"/>
        <v>0</v>
      </c>
      <c r="D150" s="64">
        <f t="shared" si="50"/>
        <v>0</v>
      </c>
      <c r="E150" s="64">
        <f t="shared" si="50"/>
        <v>0</v>
      </c>
      <c r="F150" s="64">
        <f t="shared" si="50"/>
        <v>0</v>
      </c>
      <c r="G150" s="54"/>
      <c r="H150" s="119"/>
      <c r="I150" s="54"/>
      <c r="J150" s="54"/>
      <c r="K150" s="54"/>
      <c r="L150" s="119"/>
      <c r="M150" s="54"/>
      <c r="N150" s="180"/>
    </row>
    <row r="151" spans="1:14" s="38" customFormat="1" x14ac:dyDescent="0.2">
      <c r="A151" s="25"/>
      <c r="B151" s="321" t="s">
        <v>177</v>
      </c>
      <c r="C151" s="64">
        <f t="shared" si="50"/>
        <v>0</v>
      </c>
      <c r="D151" s="64">
        <f t="shared" si="50"/>
        <v>0</v>
      </c>
      <c r="E151" s="64">
        <f t="shared" si="50"/>
        <v>0</v>
      </c>
      <c r="F151" s="64">
        <f t="shared" si="50"/>
        <v>0</v>
      </c>
      <c r="G151" s="54"/>
      <c r="H151" s="119"/>
      <c r="I151" s="54"/>
      <c r="J151" s="54"/>
      <c r="K151" s="54"/>
      <c r="L151" s="119"/>
      <c r="M151" s="54"/>
      <c r="N151" s="180"/>
    </row>
    <row r="152" spans="1:14" s="38" customFormat="1" x14ac:dyDescent="0.2">
      <c r="A152" s="25"/>
      <c r="B152" s="144" t="s">
        <v>178</v>
      </c>
      <c r="C152" s="64"/>
      <c r="D152" s="64"/>
      <c r="E152" s="64"/>
      <c r="F152" s="64"/>
      <c r="G152" s="54"/>
      <c r="H152" s="119"/>
      <c r="I152" s="54"/>
      <c r="J152" s="54"/>
      <c r="K152" s="54"/>
      <c r="L152" s="119"/>
      <c r="M152" s="54"/>
      <c r="N152" s="180"/>
    </row>
    <row r="153" spans="1:14" s="38" customFormat="1" x14ac:dyDescent="0.2">
      <c r="A153" s="25"/>
      <c r="B153" s="319" t="s">
        <v>179</v>
      </c>
      <c r="C153" s="64">
        <f t="shared" ref="C153:F154" si="51">G153+K153</f>
        <v>0</v>
      </c>
      <c r="D153" s="64">
        <f t="shared" si="51"/>
        <v>0</v>
      </c>
      <c r="E153" s="64">
        <f t="shared" si="51"/>
        <v>0</v>
      </c>
      <c r="F153" s="64">
        <f t="shared" si="51"/>
        <v>0</v>
      </c>
      <c r="G153" s="54"/>
      <c r="H153" s="119"/>
      <c r="I153" s="54"/>
      <c r="J153" s="54"/>
      <c r="K153" s="54"/>
      <c r="L153" s="119"/>
      <c r="M153" s="54"/>
      <c r="N153" s="180"/>
    </row>
    <row r="154" spans="1:14" s="38" customFormat="1" ht="25.5" x14ac:dyDescent="0.2">
      <c r="A154" s="25"/>
      <c r="B154" s="24" t="s">
        <v>180</v>
      </c>
      <c r="C154" s="64">
        <f t="shared" si="51"/>
        <v>0</v>
      </c>
      <c r="D154" s="64">
        <f t="shared" si="51"/>
        <v>0</v>
      </c>
      <c r="E154" s="64">
        <f t="shared" si="51"/>
        <v>0</v>
      </c>
      <c r="F154" s="64">
        <f t="shared" si="51"/>
        <v>0</v>
      </c>
      <c r="G154" s="54"/>
      <c r="H154" s="119"/>
      <c r="I154" s="54"/>
      <c r="J154" s="54"/>
      <c r="K154" s="54"/>
      <c r="L154" s="119"/>
      <c r="M154" s="54"/>
      <c r="N154" s="180"/>
    </row>
    <row r="155" spans="1:14" s="38" customFormat="1" x14ac:dyDescent="0.2">
      <c r="A155" s="25"/>
      <c r="B155" s="24" t="s">
        <v>181</v>
      </c>
      <c r="C155" s="64"/>
      <c r="D155" s="64"/>
      <c r="E155" s="64"/>
      <c r="F155" s="64"/>
      <c r="G155" s="54"/>
      <c r="H155" s="119"/>
      <c r="I155" s="54"/>
      <c r="J155" s="54"/>
      <c r="K155" s="54"/>
      <c r="L155" s="119"/>
      <c r="M155" s="54"/>
      <c r="N155" s="180"/>
    </row>
    <row r="156" spans="1:14" s="38" customFormat="1" ht="25.5" x14ac:dyDescent="0.2">
      <c r="A156" s="25"/>
      <c r="B156" s="24" t="s">
        <v>182</v>
      </c>
      <c r="C156" s="64">
        <f>G156+K156</f>
        <v>0</v>
      </c>
      <c r="D156" s="64">
        <f>H156+L156</f>
        <v>0</v>
      </c>
      <c r="E156" s="64">
        <f>I156+M156</f>
        <v>0</v>
      </c>
      <c r="F156" s="64">
        <f>J156+N156</f>
        <v>0</v>
      </c>
      <c r="G156" s="54"/>
      <c r="H156" s="119"/>
      <c r="I156" s="54"/>
      <c r="J156" s="54"/>
      <c r="K156" s="54"/>
      <c r="L156" s="119"/>
      <c r="M156" s="54"/>
      <c r="N156" s="180"/>
    </row>
    <row r="157" spans="1:14" s="38" customFormat="1" x14ac:dyDescent="0.2">
      <c r="A157" s="25"/>
      <c r="B157" s="24" t="s">
        <v>183</v>
      </c>
      <c r="C157" s="64">
        <f t="shared" ref="C157:C162" si="52">G157+K157</f>
        <v>0</v>
      </c>
      <c r="D157" s="64">
        <f t="shared" ref="D157:F162" si="53">H157+L157</f>
        <v>0</v>
      </c>
      <c r="E157" s="64">
        <f t="shared" si="53"/>
        <v>0</v>
      </c>
      <c r="F157" s="64">
        <f t="shared" si="53"/>
        <v>0</v>
      </c>
      <c r="G157" s="54"/>
      <c r="H157" s="119"/>
      <c r="I157" s="54"/>
      <c r="J157" s="54"/>
      <c r="K157" s="54"/>
      <c r="L157" s="119"/>
      <c r="M157" s="54"/>
      <c r="N157" s="180"/>
    </row>
    <row r="158" spans="1:14" s="38" customFormat="1" ht="25.5" x14ac:dyDescent="0.2">
      <c r="A158" s="25"/>
      <c r="B158" s="24" t="s">
        <v>184</v>
      </c>
      <c r="C158" s="64">
        <f t="shared" si="52"/>
        <v>0</v>
      </c>
      <c r="D158" s="64">
        <f t="shared" si="53"/>
        <v>0</v>
      </c>
      <c r="E158" s="64">
        <f t="shared" si="53"/>
        <v>0</v>
      </c>
      <c r="F158" s="64">
        <f t="shared" si="53"/>
        <v>0</v>
      </c>
      <c r="G158" s="54"/>
      <c r="H158" s="119"/>
      <c r="I158" s="54"/>
      <c r="J158" s="54"/>
      <c r="K158" s="54"/>
      <c r="L158" s="119"/>
      <c r="M158" s="54"/>
      <c r="N158" s="180"/>
    </row>
    <row r="159" spans="1:14" s="38" customFormat="1" ht="25.5" x14ac:dyDescent="0.2">
      <c r="A159" s="25"/>
      <c r="B159" s="24" t="s">
        <v>185</v>
      </c>
      <c r="C159" s="64">
        <f t="shared" si="52"/>
        <v>0</v>
      </c>
      <c r="D159" s="64">
        <f t="shared" si="53"/>
        <v>0</v>
      </c>
      <c r="E159" s="64">
        <f t="shared" si="53"/>
        <v>0</v>
      </c>
      <c r="F159" s="64">
        <f t="shared" si="53"/>
        <v>0</v>
      </c>
      <c r="G159" s="54"/>
      <c r="H159" s="119"/>
      <c r="I159" s="54"/>
      <c r="J159" s="54"/>
      <c r="K159" s="54"/>
      <c r="L159" s="119"/>
      <c r="M159" s="54"/>
      <c r="N159" s="180"/>
    </row>
    <row r="160" spans="1:14" s="38" customFormat="1" x14ac:dyDescent="0.2">
      <c r="A160" s="25"/>
      <c r="B160" s="319" t="s">
        <v>186</v>
      </c>
      <c r="C160" s="64">
        <f t="shared" si="52"/>
        <v>0</v>
      </c>
      <c r="D160" s="64">
        <f t="shared" si="53"/>
        <v>0</v>
      </c>
      <c r="E160" s="64">
        <f t="shared" si="53"/>
        <v>0</v>
      </c>
      <c r="F160" s="64">
        <f t="shared" si="53"/>
        <v>0</v>
      </c>
      <c r="G160" s="54"/>
      <c r="H160" s="119"/>
      <c r="I160" s="54"/>
      <c r="J160" s="54"/>
      <c r="K160" s="54"/>
      <c r="L160" s="119"/>
      <c r="M160" s="54"/>
      <c r="N160" s="180"/>
    </row>
    <row r="161" spans="1:14" s="38" customFormat="1" ht="25.5" x14ac:dyDescent="0.2">
      <c r="A161" s="25"/>
      <c r="B161" s="24" t="s">
        <v>187</v>
      </c>
      <c r="C161" s="64">
        <f t="shared" si="52"/>
        <v>0</v>
      </c>
      <c r="D161" s="64">
        <f t="shared" si="53"/>
        <v>0</v>
      </c>
      <c r="E161" s="64">
        <f t="shared" si="53"/>
        <v>0</v>
      </c>
      <c r="F161" s="64">
        <f t="shared" si="53"/>
        <v>0</v>
      </c>
      <c r="G161" s="54"/>
      <c r="H161" s="119"/>
      <c r="I161" s="54"/>
      <c r="J161" s="54"/>
      <c r="K161" s="54"/>
      <c r="L161" s="119"/>
      <c r="M161" s="54"/>
      <c r="N161" s="180"/>
    </row>
    <row r="162" spans="1:14" s="38" customFormat="1" ht="25.5" x14ac:dyDescent="0.2">
      <c r="A162" s="25"/>
      <c r="B162" s="24" t="s">
        <v>188</v>
      </c>
      <c r="C162" s="64">
        <f t="shared" si="52"/>
        <v>0</v>
      </c>
      <c r="D162" s="64">
        <f t="shared" si="53"/>
        <v>0</v>
      </c>
      <c r="E162" s="64">
        <f t="shared" si="53"/>
        <v>0</v>
      </c>
      <c r="F162" s="64">
        <f t="shared" si="53"/>
        <v>0</v>
      </c>
      <c r="G162" s="54"/>
      <c r="H162" s="119"/>
      <c r="I162" s="54"/>
      <c r="J162" s="54"/>
      <c r="K162" s="54"/>
      <c r="L162" s="119"/>
      <c r="M162" s="54"/>
      <c r="N162" s="180"/>
    </row>
    <row r="163" spans="1:14" s="38" customFormat="1" x14ac:dyDescent="0.2">
      <c r="A163" s="25"/>
      <c r="B163" s="24" t="s">
        <v>189</v>
      </c>
      <c r="C163" s="64"/>
      <c r="D163" s="64"/>
      <c r="E163" s="64"/>
      <c r="F163" s="64"/>
      <c r="G163" s="54"/>
      <c r="H163" s="119"/>
      <c r="I163" s="54"/>
      <c r="J163" s="54"/>
      <c r="K163" s="54"/>
      <c r="L163" s="119"/>
      <c r="M163" s="54"/>
      <c r="N163" s="180"/>
    </row>
    <row r="164" spans="1:14" s="38" customFormat="1" x14ac:dyDescent="0.2">
      <c r="A164" s="25"/>
      <c r="B164" s="40" t="s">
        <v>190</v>
      </c>
      <c r="C164" s="64">
        <f t="shared" si="46"/>
        <v>0</v>
      </c>
      <c r="D164" s="64">
        <f t="shared" si="47"/>
        <v>0</v>
      </c>
      <c r="E164" s="64">
        <f t="shared" si="48"/>
        <v>0</v>
      </c>
      <c r="F164" s="64">
        <f t="shared" si="49"/>
        <v>0</v>
      </c>
      <c r="G164" s="54"/>
      <c r="H164" s="119"/>
      <c r="I164" s="54"/>
      <c r="J164" s="54"/>
      <c r="K164" s="54"/>
      <c r="L164" s="119"/>
      <c r="M164" s="54"/>
      <c r="N164" s="180"/>
    </row>
    <row r="165" spans="1:14" s="38" customFormat="1" x14ac:dyDescent="0.2">
      <c r="A165" s="25"/>
      <c r="B165" s="24" t="s">
        <v>191</v>
      </c>
      <c r="C165" s="64">
        <f t="shared" si="46"/>
        <v>0</v>
      </c>
      <c r="D165" s="64">
        <f t="shared" si="47"/>
        <v>0</v>
      </c>
      <c r="E165" s="64">
        <f t="shared" si="48"/>
        <v>0</v>
      </c>
      <c r="F165" s="64">
        <f t="shared" si="49"/>
        <v>0</v>
      </c>
      <c r="G165" s="54"/>
      <c r="H165" s="119"/>
      <c r="I165" s="54"/>
      <c r="J165" s="54"/>
      <c r="K165" s="54"/>
      <c r="L165" s="119"/>
      <c r="M165" s="54"/>
      <c r="N165" s="180"/>
    </row>
    <row r="166" spans="1:14" ht="13.5" thickBot="1" x14ac:dyDescent="0.25">
      <c r="A166" s="101"/>
      <c r="B166" s="138" t="s">
        <v>161</v>
      </c>
      <c r="C166" s="137">
        <f t="shared" ref="C166:N166" si="54">SUM(C135:C165)</f>
        <v>96</v>
      </c>
      <c r="D166" s="137">
        <f t="shared" si="54"/>
        <v>527000</v>
      </c>
      <c r="E166" s="137">
        <f t="shared" si="54"/>
        <v>0</v>
      </c>
      <c r="F166" s="137">
        <f t="shared" si="54"/>
        <v>0</v>
      </c>
      <c r="G166" s="137">
        <f t="shared" si="54"/>
        <v>49</v>
      </c>
      <c r="H166" s="137">
        <f t="shared" si="54"/>
        <v>276000</v>
      </c>
      <c r="I166" s="137">
        <f t="shared" si="54"/>
        <v>0</v>
      </c>
      <c r="J166" s="137">
        <f t="shared" si="54"/>
        <v>0</v>
      </c>
      <c r="K166" s="137">
        <f t="shared" si="54"/>
        <v>47</v>
      </c>
      <c r="L166" s="137">
        <f t="shared" si="54"/>
        <v>251000</v>
      </c>
      <c r="M166" s="137">
        <f t="shared" si="54"/>
        <v>0</v>
      </c>
      <c r="N166" s="137">
        <f t="shared" si="54"/>
        <v>0</v>
      </c>
    </row>
    <row r="167" spans="1:14" s="38" customFormat="1" ht="13.5" thickBot="1" x14ac:dyDescent="0.25">
      <c r="A167" s="27"/>
      <c r="B167" s="157"/>
      <c r="C167" s="109"/>
      <c r="D167" s="21"/>
      <c r="E167" s="109"/>
      <c r="F167" s="109"/>
      <c r="G167" s="20"/>
      <c r="H167" s="26"/>
      <c r="I167" s="154"/>
      <c r="J167" s="20"/>
      <c r="K167" s="20"/>
      <c r="L167" s="26"/>
      <c r="M167" s="154"/>
      <c r="N167" s="20"/>
    </row>
    <row r="168" spans="1:14" ht="16.5" thickBot="1" x14ac:dyDescent="0.3">
      <c r="A168" s="148"/>
      <c r="B168" s="149" t="s">
        <v>162</v>
      </c>
      <c r="C168" s="150">
        <f t="shared" ref="C168:N168" si="55">C10+C48+C60+C73+C77+C92+C133+C166</f>
        <v>257</v>
      </c>
      <c r="D168" s="150">
        <f t="shared" si="55"/>
        <v>4638000</v>
      </c>
      <c r="E168" s="150">
        <f t="shared" si="55"/>
        <v>0</v>
      </c>
      <c r="F168" s="150">
        <f t="shared" si="55"/>
        <v>0</v>
      </c>
      <c r="G168" s="150">
        <f t="shared" si="55"/>
        <v>144</v>
      </c>
      <c r="H168" s="150">
        <f t="shared" si="55"/>
        <v>2582000</v>
      </c>
      <c r="I168" s="150">
        <f t="shared" si="55"/>
        <v>0</v>
      </c>
      <c r="J168" s="150">
        <f t="shared" si="55"/>
        <v>0</v>
      </c>
      <c r="K168" s="150">
        <f t="shared" si="55"/>
        <v>113</v>
      </c>
      <c r="L168" s="150">
        <f t="shared" si="55"/>
        <v>2056000</v>
      </c>
      <c r="M168" s="150">
        <f t="shared" si="55"/>
        <v>0</v>
      </c>
      <c r="N168" s="150">
        <f t="shared" si="55"/>
        <v>0</v>
      </c>
    </row>
    <row r="182" s="5" customFormat="1" x14ac:dyDescent="0.2"/>
    <row r="183" s="5" customFormat="1" x14ac:dyDescent="0.2"/>
  </sheetData>
  <mergeCells count="10">
    <mergeCell ref="E3:F3"/>
    <mergeCell ref="C3:D3"/>
    <mergeCell ref="G3:J3"/>
    <mergeCell ref="K3:N3"/>
    <mergeCell ref="C4:D4"/>
    <mergeCell ref="E4:F4"/>
    <mergeCell ref="G4:H4"/>
    <mergeCell ref="I4:J4"/>
    <mergeCell ref="K4:L4"/>
    <mergeCell ref="M4:N4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E183"/>
  <sheetViews>
    <sheetView zoomScale="110" zoomScaleNormal="110" workbookViewId="0">
      <pane xSplit="2" ySplit="5" topLeftCell="C130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51" style="9" customWidth="1"/>
    <col min="3" max="3" width="10.7109375" style="12" customWidth="1"/>
    <col min="4" max="4" width="14" style="13" customWidth="1"/>
    <col min="5" max="5" width="9.28515625" style="5" customWidth="1"/>
    <col min="6" max="6" width="10.85546875" style="5" customWidth="1"/>
    <col min="7" max="7" width="8.7109375" style="56" customWidth="1"/>
    <col min="8" max="8" width="13" style="13" customWidth="1"/>
    <col min="9" max="9" width="8.85546875" style="5" customWidth="1"/>
    <col min="10" max="10" width="11.5703125" style="5" customWidth="1"/>
    <col min="11" max="11" width="7.42578125" style="12" customWidth="1"/>
    <col min="12" max="12" width="14" style="13" customWidth="1"/>
    <col min="13" max="13" width="9.28515625" style="5" customWidth="1"/>
    <col min="14" max="14" width="10.7109375" style="5" customWidth="1"/>
    <col min="15" max="15" width="8.28515625" style="12" bestFit="1" customWidth="1"/>
    <col min="16" max="16" width="14" style="13" customWidth="1"/>
    <col min="17" max="17" width="7.85546875" style="5" customWidth="1"/>
    <col min="18" max="18" width="10.7109375" style="5" customWidth="1"/>
    <col min="19" max="19" width="8.7109375" style="12" customWidth="1"/>
    <col min="20" max="20" width="11.85546875" style="13" customWidth="1"/>
    <col min="21" max="21" width="8.85546875" style="5" customWidth="1"/>
    <col min="22" max="22" width="11.5703125" style="5" customWidth="1"/>
    <col min="23" max="23" width="8.7109375" style="12" customWidth="1"/>
    <col min="24" max="24" width="11.85546875" style="13" customWidth="1"/>
    <col min="25" max="25" width="8.85546875" style="5" customWidth="1"/>
    <col min="26" max="26" width="11.5703125" style="5" customWidth="1"/>
    <col min="27" max="27" width="8.7109375" style="12" customWidth="1"/>
    <col min="28" max="28" width="11.85546875" style="13" customWidth="1"/>
    <col min="29" max="29" width="8.85546875" style="5" customWidth="1"/>
    <col min="30" max="30" width="11.5703125" style="5" customWidth="1"/>
    <col min="31" max="16384" width="9.140625" style="5"/>
  </cols>
  <sheetData>
    <row r="1" spans="1:31" ht="14.45" customHeight="1" x14ac:dyDescent="0.2">
      <c r="A1" s="1"/>
      <c r="B1" s="14" t="s">
        <v>55</v>
      </c>
      <c r="C1" s="4"/>
      <c r="D1" s="3"/>
      <c r="G1" s="55"/>
      <c r="H1" s="3"/>
      <c r="K1" s="4"/>
      <c r="L1" s="3"/>
      <c r="O1" s="4"/>
      <c r="P1" s="3"/>
      <c r="S1" s="4"/>
      <c r="T1" s="3"/>
      <c r="W1" s="4"/>
      <c r="X1" s="3"/>
      <c r="AA1" s="4"/>
      <c r="AB1" s="3"/>
    </row>
    <row r="2" spans="1:31" ht="14.45" customHeight="1" thickBot="1" x14ac:dyDescent="0.25">
      <c r="A2" s="1"/>
      <c r="B2" s="2"/>
      <c r="C2" s="4"/>
      <c r="D2" s="3"/>
      <c r="F2" s="17" t="s">
        <v>236</v>
      </c>
      <c r="G2" s="55"/>
      <c r="H2" s="3"/>
      <c r="J2" s="17" t="s">
        <v>236</v>
      </c>
      <c r="K2" s="4"/>
      <c r="L2" s="3"/>
      <c r="N2" s="17" t="s">
        <v>236</v>
      </c>
      <c r="O2" s="4"/>
      <c r="P2" s="3"/>
      <c r="R2" s="17" t="s">
        <v>236</v>
      </c>
      <c r="S2" s="4"/>
      <c r="T2" s="3"/>
      <c r="V2" s="17" t="s">
        <v>236</v>
      </c>
      <c r="W2" s="4"/>
      <c r="X2" s="3"/>
      <c r="Z2" s="17" t="s">
        <v>236</v>
      </c>
      <c r="AA2" s="4"/>
      <c r="AB2" s="3"/>
      <c r="AD2" s="17" t="s">
        <v>236</v>
      </c>
    </row>
    <row r="3" spans="1:31" s="6" customFormat="1" ht="19.5" customHeight="1" thickBot="1" x14ac:dyDescent="0.3">
      <c r="A3" s="70"/>
      <c r="B3" s="71"/>
      <c r="C3" s="413" t="s">
        <v>56</v>
      </c>
      <c r="D3" s="414"/>
      <c r="E3" s="422" t="s">
        <v>56</v>
      </c>
      <c r="F3" s="423"/>
      <c r="G3" s="413" t="s">
        <v>252</v>
      </c>
      <c r="H3" s="414"/>
      <c r="I3" s="414"/>
      <c r="J3" s="415"/>
      <c r="K3" s="413" t="s">
        <v>253</v>
      </c>
      <c r="L3" s="414"/>
      <c r="M3" s="414"/>
      <c r="N3" s="415"/>
      <c r="O3" s="413" t="s">
        <v>254</v>
      </c>
      <c r="P3" s="414"/>
      <c r="Q3" s="414"/>
      <c r="R3" s="415"/>
      <c r="S3" s="413" t="s">
        <v>255</v>
      </c>
      <c r="T3" s="414"/>
      <c r="U3" s="414"/>
      <c r="V3" s="415"/>
      <c r="W3" s="413" t="s">
        <v>256</v>
      </c>
      <c r="X3" s="414"/>
      <c r="Y3" s="414"/>
      <c r="Z3" s="415"/>
      <c r="AA3" s="413" t="s">
        <v>257</v>
      </c>
      <c r="AB3" s="414"/>
      <c r="AC3" s="414"/>
      <c r="AD3" s="415"/>
      <c r="AE3" s="6" t="s">
        <v>60</v>
      </c>
    </row>
    <row r="4" spans="1:31" s="6" customFormat="1" ht="39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405" t="s">
        <v>235</v>
      </c>
      <c r="H4" s="406"/>
      <c r="I4" s="411" t="s">
        <v>59</v>
      </c>
      <c r="J4" s="412"/>
      <c r="K4" s="405" t="s">
        <v>235</v>
      </c>
      <c r="L4" s="406"/>
      <c r="M4" s="411" t="s">
        <v>59</v>
      </c>
      <c r="N4" s="412"/>
      <c r="O4" s="405" t="s">
        <v>235</v>
      </c>
      <c r="P4" s="406"/>
      <c r="Q4" s="411" t="s">
        <v>59</v>
      </c>
      <c r="R4" s="412"/>
      <c r="S4" s="405" t="s">
        <v>235</v>
      </c>
      <c r="T4" s="406"/>
      <c r="U4" s="411" t="s">
        <v>59</v>
      </c>
      <c r="V4" s="412"/>
      <c r="W4" s="405" t="s">
        <v>235</v>
      </c>
      <c r="X4" s="406"/>
      <c r="Y4" s="411" t="s">
        <v>59</v>
      </c>
      <c r="Z4" s="412"/>
      <c r="AA4" s="405" t="s">
        <v>235</v>
      </c>
      <c r="AB4" s="406"/>
      <c r="AC4" s="411" t="s">
        <v>59</v>
      </c>
      <c r="AD4" s="412"/>
    </row>
    <row r="5" spans="1:31" s="7" customFormat="1" ht="35.25" customHeight="1" thickBot="1" x14ac:dyDescent="0.25">
      <c r="A5" s="279" t="s">
        <v>62</v>
      </c>
      <c r="B5" s="298" t="s">
        <v>63</v>
      </c>
      <c r="C5" s="229" t="s">
        <v>57</v>
      </c>
      <c r="D5" s="229" t="s">
        <v>58</v>
      </c>
      <c r="E5" s="229" t="s">
        <v>57</v>
      </c>
      <c r="F5" s="229" t="s">
        <v>58</v>
      </c>
      <c r="G5" s="280" t="s">
        <v>0</v>
      </c>
      <c r="H5" s="280" t="s">
        <v>1</v>
      </c>
      <c r="I5" s="280" t="s">
        <v>0</v>
      </c>
      <c r="J5" s="280" t="s">
        <v>12</v>
      </c>
      <c r="K5" s="280" t="s">
        <v>0</v>
      </c>
      <c r="L5" s="280" t="s">
        <v>1</v>
      </c>
      <c r="M5" s="280" t="s">
        <v>0</v>
      </c>
      <c r="N5" s="280" t="s">
        <v>12</v>
      </c>
      <c r="O5" s="280" t="s">
        <v>0</v>
      </c>
      <c r="P5" s="280" t="s">
        <v>1</v>
      </c>
      <c r="Q5" s="280" t="s">
        <v>0</v>
      </c>
      <c r="R5" s="280" t="s">
        <v>12</v>
      </c>
      <c r="S5" s="280" t="s">
        <v>0</v>
      </c>
      <c r="T5" s="280" t="s">
        <v>1</v>
      </c>
      <c r="U5" s="280" t="s">
        <v>0</v>
      </c>
      <c r="V5" s="280" t="s">
        <v>12</v>
      </c>
      <c r="W5" s="280" t="s">
        <v>0</v>
      </c>
      <c r="X5" s="280" t="s">
        <v>1</v>
      </c>
      <c r="Y5" s="280" t="s">
        <v>0</v>
      </c>
      <c r="Z5" s="280" t="s">
        <v>12</v>
      </c>
      <c r="AA5" s="280" t="s">
        <v>0</v>
      </c>
      <c r="AB5" s="280" t="s">
        <v>1</v>
      </c>
      <c r="AC5" s="280" t="s">
        <v>0</v>
      </c>
      <c r="AD5" s="280" t="s">
        <v>12</v>
      </c>
    </row>
    <row r="6" spans="1:31" s="9" customFormat="1" x14ac:dyDescent="0.2">
      <c r="A6" s="175" t="s">
        <v>2</v>
      </c>
      <c r="B6" s="176" t="s">
        <v>3</v>
      </c>
      <c r="C6" s="177"/>
      <c r="D6" s="178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9"/>
    </row>
    <row r="7" spans="1:31" x14ac:dyDescent="0.2">
      <c r="A7" s="25"/>
      <c r="B7" s="48" t="s">
        <v>18</v>
      </c>
      <c r="C7" s="64">
        <f t="shared" ref="C7:F11" si="0">G7+K7+O7+S7+W7+AA7</f>
        <v>0</v>
      </c>
      <c r="D7" s="64">
        <f t="shared" si="0"/>
        <v>0</v>
      </c>
      <c r="E7" s="64">
        <f t="shared" si="0"/>
        <v>0</v>
      </c>
      <c r="F7" s="64">
        <f t="shared" si="0"/>
        <v>0</v>
      </c>
      <c r="G7" s="54"/>
      <c r="H7" s="119"/>
      <c r="I7" s="54"/>
      <c r="J7" s="54"/>
      <c r="K7" s="54"/>
      <c r="L7" s="119"/>
      <c r="M7" s="54"/>
      <c r="N7" s="54"/>
      <c r="O7" s="54"/>
      <c r="P7" s="119"/>
      <c r="Q7" s="54"/>
      <c r="R7" s="54"/>
      <c r="S7" s="54"/>
      <c r="T7" s="119"/>
      <c r="U7" s="54"/>
      <c r="V7" s="54"/>
      <c r="W7" s="54"/>
      <c r="X7" s="119"/>
      <c r="Y7" s="54"/>
      <c r="Z7" s="54"/>
      <c r="AA7" s="54"/>
      <c r="AB7" s="119"/>
      <c r="AC7" s="54"/>
      <c r="AD7" s="180"/>
    </row>
    <row r="8" spans="1:31" x14ac:dyDescent="0.2">
      <c r="A8" s="25"/>
      <c r="B8" s="48" t="s">
        <v>4</v>
      </c>
      <c r="C8" s="64">
        <f t="shared" si="0"/>
        <v>1</v>
      </c>
      <c r="D8" s="64">
        <f t="shared" si="0"/>
        <v>90000</v>
      </c>
      <c r="E8" s="64">
        <f t="shared" si="0"/>
        <v>0</v>
      </c>
      <c r="F8" s="64">
        <f t="shared" si="0"/>
        <v>0</v>
      </c>
      <c r="G8" s="54"/>
      <c r="H8" s="119"/>
      <c r="I8" s="54"/>
      <c r="J8" s="54"/>
      <c r="K8" s="54"/>
      <c r="L8" s="119"/>
      <c r="M8" s="54"/>
      <c r="N8" s="54"/>
      <c r="O8" s="54"/>
      <c r="P8" s="119"/>
      <c r="Q8" s="54"/>
      <c r="R8" s="54"/>
      <c r="S8" s="54"/>
      <c r="T8" s="119"/>
      <c r="U8" s="54"/>
      <c r="V8" s="54"/>
      <c r="W8" s="54">
        <v>1</v>
      </c>
      <c r="X8" s="119">
        <v>90000</v>
      </c>
      <c r="Y8" s="54"/>
      <c r="Z8" s="54"/>
      <c r="AA8" s="54"/>
      <c r="AB8" s="119"/>
      <c r="AC8" s="54"/>
      <c r="AD8" s="180"/>
    </row>
    <row r="9" spans="1:31" x14ac:dyDescent="0.2">
      <c r="A9" s="25"/>
      <c r="B9" s="48" t="s">
        <v>17</v>
      </c>
      <c r="C9" s="64">
        <f t="shared" si="0"/>
        <v>0</v>
      </c>
      <c r="D9" s="64">
        <f t="shared" ref="D9" si="1">H9+L9+P9+T9+X9+AB9</f>
        <v>0</v>
      </c>
      <c r="E9" s="64">
        <f t="shared" ref="E9" si="2">I9+M9+Q9+U9+Y9+AC9</f>
        <v>0</v>
      </c>
      <c r="F9" s="64">
        <f t="shared" ref="F9" si="3">J9+N9+R9+V9+Z9+AD9</f>
        <v>0</v>
      </c>
      <c r="G9" s="54"/>
      <c r="H9" s="119"/>
      <c r="I9" s="54"/>
      <c r="J9" s="54"/>
      <c r="K9" s="54"/>
      <c r="L9" s="119"/>
      <c r="M9" s="54"/>
      <c r="N9" s="54"/>
      <c r="O9" s="54"/>
      <c r="P9" s="119"/>
      <c r="Q9" s="54"/>
      <c r="R9" s="54"/>
      <c r="S9" s="54"/>
      <c r="T9" s="119"/>
      <c r="U9" s="54"/>
      <c r="V9" s="54"/>
      <c r="W9" s="54"/>
      <c r="X9" s="119"/>
      <c r="Y9" s="54"/>
      <c r="Z9" s="54"/>
      <c r="AA9" s="54"/>
      <c r="AB9" s="119"/>
      <c r="AC9" s="54"/>
      <c r="AD9" s="180"/>
    </row>
    <row r="10" spans="1:31" x14ac:dyDescent="0.2">
      <c r="A10" s="25"/>
      <c r="B10" s="48" t="s">
        <v>15</v>
      </c>
      <c r="C10" s="64">
        <f t="shared" si="0"/>
        <v>1</v>
      </c>
      <c r="D10" s="64">
        <f t="shared" si="0"/>
        <v>260000</v>
      </c>
      <c r="E10" s="64">
        <f t="shared" si="0"/>
        <v>0</v>
      </c>
      <c r="F10" s="64">
        <f t="shared" si="0"/>
        <v>0</v>
      </c>
      <c r="G10" s="54">
        <v>1</v>
      </c>
      <c r="H10" s="119">
        <v>260000</v>
      </c>
      <c r="I10" s="54"/>
      <c r="J10" s="54"/>
      <c r="K10" s="54"/>
      <c r="L10" s="119"/>
      <c r="M10" s="54"/>
      <c r="N10" s="54"/>
      <c r="O10" s="54"/>
      <c r="P10" s="119"/>
      <c r="Q10" s="54"/>
      <c r="R10" s="54"/>
      <c r="S10" s="54"/>
      <c r="T10" s="119"/>
      <c r="U10" s="54"/>
      <c r="V10" s="54"/>
      <c r="W10" s="54"/>
      <c r="X10" s="119"/>
      <c r="Y10" s="54"/>
      <c r="Z10" s="54"/>
      <c r="AA10" s="54"/>
      <c r="AB10" s="119"/>
      <c r="AC10" s="54"/>
      <c r="AD10" s="180"/>
    </row>
    <row r="11" spans="1:31" ht="13.5" thickBot="1" x14ac:dyDescent="0.25">
      <c r="A11" s="181"/>
      <c r="B11" s="182" t="s">
        <v>16</v>
      </c>
      <c r="C11" s="239">
        <f t="shared" ref="C11" si="4">G11+K11+O11+S11+W11+AA11</f>
        <v>4</v>
      </c>
      <c r="D11" s="239">
        <f t="shared" si="0"/>
        <v>800000</v>
      </c>
      <c r="E11" s="239">
        <f t="shared" si="0"/>
        <v>0</v>
      </c>
      <c r="F11" s="239">
        <f t="shared" si="0"/>
        <v>0</v>
      </c>
      <c r="G11" s="200">
        <v>1</v>
      </c>
      <c r="H11" s="184">
        <v>200000</v>
      </c>
      <c r="I11" s="200"/>
      <c r="J11" s="200"/>
      <c r="K11" s="200"/>
      <c r="L11" s="184"/>
      <c r="M11" s="200"/>
      <c r="N11" s="200"/>
      <c r="O11" s="200">
        <v>1</v>
      </c>
      <c r="P11" s="184">
        <v>200000</v>
      </c>
      <c r="Q11" s="200"/>
      <c r="R11" s="200"/>
      <c r="S11" s="200"/>
      <c r="T11" s="184"/>
      <c r="U11" s="200"/>
      <c r="V11" s="200"/>
      <c r="W11" s="200">
        <v>1</v>
      </c>
      <c r="X11" s="184">
        <v>200000</v>
      </c>
      <c r="Y11" s="200"/>
      <c r="Z11" s="200"/>
      <c r="AA11" s="200">
        <v>1</v>
      </c>
      <c r="AB11" s="184">
        <v>200000</v>
      </c>
      <c r="AC11" s="200"/>
      <c r="AD11" s="186"/>
    </row>
    <row r="12" spans="1:31" s="9" customFormat="1" ht="13.5" thickBot="1" x14ac:dyDescent="0.25">
      <c r="A12" s="278"/>
      <c r="B12" s="233" t="s">
        <v>155</v>
      </c>
      <c r="C12" s="107">
        <f t="shared" ref="C12:AD12" si="5">SUM(C7:C11)</f>
        <v>6</v>
      </c>
      <c r="D12" s="107">
        <f t="shared" si="5"/>
        <v>1150000</v>
      </c>
      <c r="E12" s="107">
        <f t="shared" si="5"/>
        <v>0</v>
      </c>
      <c r="F12" s="107">
        <f t="shared" si="5"/>
        <v>0</v>
      </c>
      <c r="G12" s="107">
        <f t="shared" si="5"/>
        <v>2</v>
      </c>
      <c r="H12" s="107">
        <f t="shared" si="5"/>
        <v>460000</v>
      </c>
      <c r="I12" s="107">
        <f t="shared" si="5"/>
        <v>0</v>
      </c>
      <c r="J12" s="107">
        <f t="shared" si="5"/>
        <v>0</v>
      </c>
      <c r="K12" s="107">
        <f t="shared" si="5"/>
        <v>0</v>
      </c>
      <c r="L12" s="107">
        <f t="shared" si="5"/>
        <v>0</v>
      </c>
      <c r="M12" s="107">
        <f t="shared" si="5"/>
        <v>0</v>
      </c>
      <c r="N12" s="107">
        <f t="shared" si="5"/>
        <v>0</v>
      </c>
      <c r="O12" s="107">
        <f t="shared" si="5"/>
        <v>1</v>
      </c>
      <c r="P12" s="107">
        <f t="shared" si="5"/>
        <v>200000</v>
      </c>
      <c r="Q12" s="107">
        <f t="shared" si="5"/>
        <v>0</v>
      </c>
      <c r="R12" s="107">
        <f t="shared" si="5"/>
        <v>0</v>
      </c>
      <c r="S12" s="107">
        <f t="shared" si="5"/>
        <v>0</v>
      </c>
      <c r="T12" s="107">
        <f t="shared" si="5"/>
        <v>0</v>
      </c>
      <c r="U12" s="107">
        <f t="shared" si="5"/>
        <v>0</v>
      </c>
      <c r="V12" s="107">
        <f t="shared" si="5"/>
        <v>0</v>
      </c>
      <c r="W12" s="107">
        <f t="shared" si="5"/>
        <v>2</v>
      </c>
      <c r="X12" s="107">
        <f t="shared" si="5"/>
        <v>290000</v>
      </c>
      <c r="Y12" s="107">
        <f t="shared" si="5"/>
        <v>0</v>
      </c>
      <c r="Z12" s="107">
        <f t="shared" si="5"/>
        <v>0</v>
      </c>
      <c r="AA12" s="107">
        <f t="shared" si="5"/>
        <v>1</v>
      </c>
      <c r="AB12" s="107">
        <f t="shared" si="5"/>
        <v>200000</v>
      </c>
      <c r="AC12" s="107">
        <f t="shared" si="5"/>
        <v>0</v>
      </c>
      <c r="AD12" s="107">
        <f t="shared" si="5"/>
        <v>0</v>
      </c>
    </row>
    <row r="13" spans="1:31" s="52" customFormat="1" x14ac:dyDescent="0.2">
      <c r="A13" s="175" t="s">
        <v>5</v>
      </c>
      <c r="B13" s="176" t="s">
        <v>89</v>
      </c>
      <c r="C13" s="177"/>
      <c r="D13" s="178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9"/>
    </row>
    <row r="14" spans="1:31" s="52" customFormat="1" ht="15" x14ac:dyDescent="0.25">
      <c r="A14" s="25"/>
      <c r="B14" s="209" t="s">
        <v>19</v>
      </c>
      <c r="C14" s="64">
        <f>G14+K14+O14+S14+W14+AA14</f>
        <v>15</v>
      </c>
      <c r="D14" s="64">
        <f t="shared" ref="D14:F47" si="6">H14+L14+P14+T14+X14+AB14</f>
        <v>45000</v>
      </c>
      <c r="E14" s="64">
        <f t="shared" si="6"/>
        <v>0</v>
      </c>
      <c r="F14" s="64">
        <f t="shared" si="6"/>
        <v>0</v>
      </c>
      <c r="G14" s="54"/>
      <c r="H14" s="119"/>
      <c r="I14" s="54"/>
      <c r="J14" s="54"/>
      <c r="K14" s="54"/>
      <c r="L14" s="119"/>
      <c r="M14" s="54"/>
      <c r="N14" s="54"/>
      <c r="O14" s="54"/>
      <c r="P14" s="119"/>
      <c r="Q14" s="54"/>
      <c r="R14" s="54"/>
      <c r="S14" s="47">
        <v>10</v>
      </c>
      <c r="T14" s="119">
        <f>S14*3000</f>
        <v>30000</v>
      </c>
      <c r="U14" s="54"/>
      <c r="V14" s="54"/>
      <c r="W14" s="54">
        <v>3</v>
      </c>
      <c r="X14" s="119">
        <f>W14*3000</f>
        <v>9000</v>
      </c>
      <c r="Y14" s="54"/>
      <c r="Z14" s="54"/>
      <c r="AA14" s="54">
        <v>2</v>
      </c>
      <c r="AB14" s="119">
        <f>AA14*3000</f>
        <v>6000</v>
      </c>
      <c r="AC14" s="54"/>
      <c r="AD14" s="180"/>
    </row>
    <row r="15" spans="1:31" s="52" customFormat="1" x14ac:dyDescent="0.2">
      <c r="A15" s="25"/>
      <c r="B15" s="209" t="s">
        <v>20</v>
      </c>
      <c r="C15" s="64">
        <f t="shared" ref="C15:C47" si="7">G15+K15+O15+S15+W15+AA15</f>
        <v>0</v>
      </c>
      <c r="D15" s="64">
        <f t="shared" si="6"/>
        <v>0</v>
      </c>
      <c r="E15" s="64">
        <f t="shared" si="6"/>
        <v>0</v>
      </c>
      <c r="F15" s="64">
        <f t="shared" si="6"/>
        <v>0</v>
      </c>
      <c r="G15" s="54"/>
      <c r="H15" s="119"/>
      <c r="I15" s="54"/>
      <c r="J15" s="54"/>
      <c r="K15" s="54"/>
      <c r="L15" s="119"/>
      <c r="M15" s="54"/>
      <c r="N15" s="54"/>
      <c r="O15" s="54"/>
      <c r="P15" s="119"/>
      <c r="Q15" s="54"/>
      <c r="R15" s="54"/>
      <c r="S15" s="54"/>
      <c r="T15" s="119"/>
      <c r="U15" s="54"/>
      <c r="V15" s="54"/>
      <c r="W15" s="54"/>
      <c r="X15" s="119"/>
      <c r="Y15" s="54"/>
      <c r="Z15" s="54"/>
      <c r="AA15" s="54"/>
      <c r="AB15" s="119"/>
      <c r="AC15" s="54"/>
      <c r="AD15" s="180"/>
    </row>
    <row r="16" spans="1:31" s="52" customFormat="1" x14ac:dyDescent="0.2">
      <c r="A16" s="25"/>
      <c r="B16" s="318" t="s">
        <v>21</v>
      </c>
      <c r="C16" s="64">
        <f>G16+K16+O16+S16+W16+AA16</f>
        <v>1</v>
      </c>
      <c r="D16" s="64">
        <f>H16+L16+P16+T16+X16+AB16</f>
        <v>4500</v>
      </c>
      <c r="E16" s="64">
        <f>I16+M16+Q16+U16+Y16+AC16</f>
        <v>0</v>
      </c>
      <c r="F16" s="64">
        <f>J16+N16+R16+V16+Z16+AD16</f>
        <v>0</v>
      </c>
      <c r="G16" s="54"/>
      <c r="H16" s="119"/>
      <c r="I16" s="54"/>
      <c r="J16" s="54"/>
      <c r="K16" s="54"/>
      <c r="L16" s="119"/>
      <c r="M16" s="54"/>
      <c r="N16" s="54"/>
      <c r="O16" s="54"/>
      <c r="P16" s="119"/>
      <c r="Q16" s="54"/>
      <c r="R16" s="54"/>
      <c r="S16" s="54"/>
      <c r="T16" s="119"/>
      <c r="U16" s="54"/>
      <c r="V16" s="54"/>
      <c r="W16" s="54">
        <v>1</v>
      </c>
      <c r="X16" s="119">
        <f>W16*4500</f>
        <v>4500</v>
      </c>
      <c r="Y16" s="54"/>
      <c r="Z16" s="54"/>
      <c r="AA16" s="54"/>
      <c r="AB16" s="119"/>
      <c r="AC16" s="54"/>
      <c r="AD16" s="180"/>
    </row>
    <row r="17" spans="1:30" s="52" customFormat="1" x14ac:dyDescent="0.2">
      <c r="A17" s="25"/>
      <c r="B17" s="318" t="s">
        <v>23</v>
      </c>
      <c r="C17" s="64">
        <f>G17+K17+O17+S17+W17+AA17</f>
        <v>3</v>
      </c>
      <c r="D17" s="64">
        <f>H17+L17+P17+T17+X17+AB17</f>
        <v>13500</v>
      </c>
      <c r="E17" s="64">
        <f t="shared" si="6"/>
        <v>0</v>
      </c>
      <c r="F17" s="64">
        <f t="shared" si="6"/>
        <v>0</v>
      </c>
      <c r="G17" s="54"/>
      <c r="H17" s="119"/>
      <c r="I17" s="54"/>
      <c r="J17" s="54"/>
      <c r="K17" s="54"/>
      <c r="L17" s="119"/>
      <c r="M17" s="54"/>
      <c r="N17" s="54"/>
      <c r="O17" s="54"/>
      <c r="P17" s="119"/>
      <c r="Q17" s="54"/>
      <c r="R17" s="54"/>
      <c r="S17" s="54"/>
      <c r="T17" s="119"/>
      <c r="U17" s="54"/>
      <c r="V17" s="54"/>
      <c r="W17" s="54">
        <v>3</v>
      </c>
      <c r="X17" s="119">
        <f>W17*4500</f>
        <v>13500</v>
      </c>
      <c r="Y17" s="54"/>
      <c r="Z17" s="54"/>
      <c r="AA17" s="54"/>
      <c r="AB17" s="119"/>
      <c r="AC17" s="54"/>
      <c r="AD17" s="180"/>
    </row>
    <row r="18" spans="1:30" s="38" customFormat="1" x14ac:dyDescent="0.2">
      <c r="A18" s="25"/>
      <c r="B18" s="318" t="s">
        <v>24</v>
      </c>
      <c r="C18" s="64">
        <f>G18+K18+O18+S18+W18+AA18</f>
        <v>0</v>
      </c>
      <c r="D18" s="64">
        <f>H18+L18+P18+T18+X18+AB18</f>
        <v>0</v>
      </c>
      <c r="E18" s="64">
        <f t="shared" si="6"/>
        <v>0</v>
      </c>
      <c r="F18" s="64">
        <f t="shared" si="6"/>
        <v>0</v>
      </c>
      <c r="G18" s="54"/>
      <c r="H18" s="119"/>
      <c r="I18" s="54"/>
      <c r="J18" s="54"/>
      <c r="K18" s="54"/>
      <c r="L18" s="119"/>
      <c r="M18" s="54"/>
      <c r="N18" s="54"/>
      <c r="O18" s="54"/>
      <c r="P18" s="119"/>
      <c r="Q18" s="54"/>
      <c r="R18" s="54"/>
      <c r="S18" s="54"/>
      <c r="T18" s="119"/>
      <c r="U18" s="54"/>
      <c r="V18" s="54"/>
      <c r="W18" s="54"/>
      <c r="X18" s="119"/>
      <c r="Y18" s="54"/>
      <c r="Z18" s="54"/>
      <c r="AA18" s="54"/>
      <c r="AB18" s="119"/>
      <c r="AC18" s="54"/>
      <c r="AD18" s="180"/>
    </row>
    <row r="19" spans="1:30" s="38" customFormat="1" ht="15" x14ac:dyDescent="0.25">
      <c r="A19" s="25"/>
      <c r="B19" s="48" t="s">
        <v>25</v>
      </c>
      <c r="C19" s="64">
        <f>G19+K19+O19+S19+W19+AA19</f>
        <v>46</v>
      </c>
      <c r="D19" s="64">
        <f t="shared" si="6"/>
        <v>32200</v>
      </c>
      <c r="E19" s="64">
        <f t="shared" si="6"/>
        <v>0</v>
      </c>
      <c r="F19" s="64">
        <f t="shared" si="6"/>
        <v>0</v>
      </c>
      <c r="G19" s="54"/>
      <c r="H19" s="119"/>
      <c r="I19" s="54"/>
      <c r="J19" s="54"/>
      <c r="K19" s="47">
        <v>10</v>
      </c>
      <c r="L19" s="119">
        <f>K19*700</f>
        <v>7000</v>
      </c>
      <c r="M19" s="54"/>
      <c r="N19" s="54"/>
      <c r="O19" s="47">
        <v>20</v>
      </c>
      <c r="P19" s="119">
        <f>O19*700</f>
        <v>14000</v>
      </c>
      <c r="Q19" s="54"/>
      <c r="R19" s="54"/>
      <c r="S19" s="47">
        <v>10</v>
      </c>
      <c r="T19" s="119">
        <f>S19*700</f>
        <v>7000</v>
      </c>
      <c r="U19" s="54"/>
      <c r="V19" s="54"/>
      <c r="W19" s="47">
        <v>6</v>
      </c>
      <c r="X19" s="119">
        <f>W19*700</f>
        <v>4200</v>
      </c>
      <c r="Y19" s="54"/>
      <c r="Z19" s="54"/>
      <c r="AA19" s="54"/>
      <c r="AB19" s="119"/>
      <c r="AC19" s="54"/>
      <c r="AD19" s="180"/>
    </row>
    <row r="20" spans="1:30" s="38" customFormat="1" ht="15" x14ac:dyDescent="0.25">
      <c r="A20" s="25"/>
      <c r="B20" s="209" t="s">
        <v>26</v>
      </c>
      <c r="C20" s="64">
        <f t="shared" si="7"/>
        <v>0</v>
      </c>
      <c r="D20" s="64">
        <f t="shared" si="6"/>
        <v>0</v>
      </c>
      <c r="E20" s="64">
        <f t="shared" si="6"/>
        <v>0</v>
      </c>
      <c r="F20" s="64">
        <f t="shared" si="6"/>
        <v>0</v>
      </c>
      <c r="G20" s="54"/>
      <c r="H20" s="119"/>
      <c r="I20" s="54"/>
      <c r="J20" s="54"/>
      <c r="K20" s="54"/>
      <c r="L20" s="119"/>
      <c r="M20" s="54"/>
      <c r="N20" s="54"/>
      <c r="O20" s="54"/>
      <c r="P20" s="119"/>
      <c r="Q20" s="54"/>
      <c r="R20" s="54"/>
      <c r="S20" s="54"/>
      <c r="T20" s="119"/>
      <c r="U20" s="54"/>
      <c r="V20" s="54"/>
      <c r="W20" s="47"/>
      <c r="X20" s="119"/>
      <c r="Y20" s="54"/>
      <c r="Z20" s="54"/>
      <c r="AA20" s="54"/>
      <c r="AB20" s="119"/>
      <c r="AC20" s="54"/>
      <c r="AD20" s="180"/>
    </row>
    <row r="21" spans="1:30" s="38" customFormat="1" x14ac:dyDescent="0.2">
      <c r="A21" s="25"/>
      <c r="B21" s="209" t="s">
        <v>27</v>
      </c>
      <c r="C21" s="64">
        <f t="shared" si="7"/>
        <v>0</v>
      </c>
      <c r="D21" s="64">
        <f t="shared" si="6"/>
        <v>0</v>
      </c>
      <c r="E21" s="64">
        <f t="shared" si="6"/>
        <v>0</v>
      </c>
      <c r="F21" s="64">
        <f t="shared" si="6"/>
        <v>0</v>
      </c>
      <c r="G21" s="54"/>
      <c r="H21" s="119"/>
      <c r="I21" s="54"/>
      <c r="J21" s="54"/>
      <c r="K21" s="54"/>
      <c r="L21" s="119"/>
      <c r="M21" s="54"/>
      <c r="N21" s="54"/>
      <c r="O21" s="54"/>
      <c r="P21" s="119"/>
      <c r="Q21" s="54"/>
      <c r="R21" s="54"/>
      <c r="S21" s="54"/>
      <c r="T21" s="119"/>
      <c r="U21" s="54"/>
      <c r="V21" s="54"/>
      <c r="W21" s="54"/>
      <c r="X21" s="119"/>
      <c r="Y21" s="54"/>
      <c r="Z21" s="54"/>
      <c r="AA21" s="54"/>
      <c r="AB21" s="119"/>
      <c r="AC21" s="54"/>
      <c r="AD21" s="180"/>
    </row>
    <row r="22" spans="1:30" s="38" customFormat="1" x14ac:dyDescent="0.2">
      <c r="A22" s="25"/>
      <c r="B22" s="48" t="s">
        <v>28</v>
      </c>
      <c r="C22" s="64">
        <f>G22+K22+O22+S22+W22+AA22</f>
        <v>7</v>
      </c>
      <c r="D22" s="64">
        <f>H22+L22+P22+T22+X22+AB22</f>
        <v>28000</v>
      </c>
      <c r="E22" s="64">
        <f t="shared" si="6"/>
        <v>0</v>
      </c>
      <c r="F22" s="64">
        <f t="shared" si="6"/>
        <v>0</v>
      </c>
      <c r="G22" s="54"/>
      <c r="H22" s="119"/>
      <c r="I22" s="54"/>
      <c r="J22" s="54"/>
      <c r="K22" s="54"/>
      <c r="L22" s="119"/>
      <c r="M22" s="54"/>
      <c r="N22" s="54"/>
      <c r="O22" s="54">
        <v>3</v>
      </c>
      <c r="P22" s="119">
        <f>O22*4000</f>
        <v>12000</v>
      </c>
      <c r="Q22" s="54"/>
      <c r="R22" s="54"/>
      <c r="S22" s="54"/>
      <c r="T22" s="119"/>
      <c r="U22" s="54"/>
      <c r="V22" s="54"/>
      <c r="W22" s="54">
        <v>2</v>
      </c>
      <c r="X22" s="119">
        <f>W22*4000</f>
        <v>8000</v>
      </c>
      <c r="Y22" s="54"/>
      <c r="Z22" s="54"/>
      <c r="AA22" s="54">
        <v>2</v>
      </c>
      <c r="AB22" s="119">
        <f>AA22*4000</f>
        <v>8000</v>
      </c>
      <c r="AC22" s="54"/>
      <c r="AD22" s="180"/>
    </row>
    <row r="23" spans="1:30" s="38" customFormat="1" x14ac:dyDescent="0.2">
      <c r="A23" s="25"/>
      <c r="B23" s="48" t="s">
        <v>29</v>
      </c>
      <c r="C23" s="64">
        <f t="shared" si="7"/>
        <v>1</v>
      </c>
      <c r="D23" s="64">
        <f t="shared" si="6"/>
        <v>6000</v>
      </c>
      <c r="E23" s="64">
        <f t="shared" si="6"/>
        <v>0</v>
      </c>
      <c r="F23" s="64">
        <f t="shared" si="6"/>
        <v>0</v>
      </c>
      <c r="G23" s="54"/>
      <c r="H23" s="119"/>
      <c r="I23" s="54"/>
      <c r="J23" s="54"/>
      <c r="K23" s="54"/>
      <c r="L23" s="119"/>
      <c r="M23" s="54"/>
      <c r="N23" s="54"/>
      <c r="O23" s="54"/>
      <c r="P23" s="119"/>
      <c r="Q23" s="54"/>
      <c r="R23" s="54"/>
      <c r="S23" s="54"/>
      <c r="T23" s="119"/>
      <c r="U23" s="54"/>
      <c r="V23" s="54"/>
      <c r="W23" s="54"/>
      <c r="X23" s="119"/>
      <c r="Y23" s="54"/>
      <c r="Z23" s="54"/>
      <c r="AA23" s="54">
        <v>1</v>
      </c>
      <c r="AB23" s="119">
        <v>6000</v>
      </c>
      <c r="AC23" s="54"/>
      <c r="AD23" s="180"/>
    </row>
    <row r="24" spans="1:30" s="38" customFormat="1" x14ac:dyDescent="0.2">
      <c r="A24" s="25"/>
      <c r="B24" s="48" t="s">
        <v>30</v>
      </c>
      <c r="C24" s="64">
        <f t="shared" si="7"/>
        <v>3</v>
      </c>
      <c r="D24" s="64">
        <f t="shared" si="6"/>
        <v>9000</v>
      </c>
      <c r="E24" s="64">
        <f t="shared" si="6"/>
        <v>0</v>
      </c>
      <c r="F24" s="64">
        <f t="shared" si="6"/>
        <v>0</v>
      </c>
      <c r="G24" s="54"/>
      <c r="H24" s="119"/>
      <c r="I24" s="54"/>
      <c r="J24" s="54"/>
      <c r="K24" s="54">
        <v>3</v>
      </c>
      <c r="L24" s="119">
        <f>K24*3000</f>
        <v>9000</v>
      </c>
      <c r="M24" s="54"/>
      <c r="N24" s="54"/>
      <c r="O24" s="54"/>
      <c r="P24" s="119"/>
      <c r="Q24" s="54"/>
      <c r="R24" s="54"/>
      <c r="S24" s="54"/>
      <c r="T24" s="119"/>
      <c r="U24" s="54"/>
      <c r="V24" s="54"/>
      <c r="W24" s="54"/>
      <c r="X24" s="119"/>
      <c r="Y24" s="54"/>
      <c r="Z24" s="54"/>
      <c r="AA24" s="54"/>
      <c r="AB24" s="119"/>
      <c r="AC24" s="54"/>
      <c r="AD24" s="180"/>
    </row>
    <row r="25" spans="1:30" s="38" customFormat="1" x14ac:dyDescent="0.2">
      <c r="A25" s="25"/>
      <c r="B25" s="48" t="s">
        <v>31</v>
      </c>
      <c r="C25" s="64">
        <f t="shared" si="7"/>
        <v>2</v>
      </c>
      <c r="D25" s="64">
        <f t="shared" si="6"/>
        <v>8000</v>
      </c>
      <c r="E25" s="64">
        <f t="shared" si="6"/>
        <v>0</v>
      </c>
      <c r="F25" s="64">
        <f t="shared" si="6"/>
        <v>0</v>
      </c>
      <c r="G25" s="54"/>
      <c r="H25" s="119"/>
      <c r="I25" s="54"/>
      <c r="J25" s="54"/>
      <c r="K25" s="54">
        <v>2</v>
      </c>
      <c r="L25" s="119">
        <f>K25*4000</f>
        <v>8000</v>
      </c>
      <c r="M25" s="54"/>
      <c r="N25" s="54"/>
      <c r="O25" s="54"/>
      <c r="P25" s="119"/>
      <c r="Q25" s="54"/>
      <c r="R25" s="54"/>
      <c r="S25" s="54"/>
      <c r="T25" s="119"/>
      <c r="U25" s="54"/>
      <c r="V25" s="54"/>
      <c r="W25" s="54"/>
      <c r="X25" s="119"/>
      <c r="Y25" s="54"/>
      <c r="Z25" s="54"/>
      <c r="AA25" s="54"/>
      <c r="AB25" s="119"/>
      <c r="AC25" s="54"/>
      <c r="AD25" s="180"/>
    </row>
    <row r="26" spans="1:30" s="38" customFormat="1" x14ac:dyDescent="0.2">
      <c r="A26" s="25"/>
      <c r="B26" s="209" t="s">
        <v>32</v>
      </c>
      <c r="C26" s="64">
        <f t="shared" si="7"/>
        <v>30</v>
      </c>
      <c r="D26" s="64">
        <f t="shared" si="6"/>
        <v>75000</v>
      </c>
      <c r="E26" s="64">
        <f t="shared" si="6"/>
        <v>0</v>
      </c>
      <c r="F26" s="64">
        <f t="shared" si="6"/>
        <v>0</v>
      </c>
      <c r="G26" s="54"/>
      <c r="H26" s="119"/>
      <c r="I26" s="54"/>
      <c r="J26" s="54"/>
      <c r="K26" s="54"/>
      <c r="L26" s="119"/>
      <c r="M26" s="54"/>
      <c r="N26" s="54"/>
      <c r="O26" s="54">
        <v>20</v>
      </c>
      <c r="P26" s="119">
        <f>O26*2500</f>
        <v>50000</v>
      </c>
      <c r="Q26" s="54"/>
      <c r="R26" s="54"/>
      <c r="S26" s="54"/>
      <c r="T26" s="119"/>
      <c r="U26" s="54"/>
      <c r="V26" s="54"/>
      <c r="W26" s="54"/>
      <c r="X26" s="119"/>
      <c r="Y26" s="54"/>
      <c r="Z26" s="54"/>
      <c r="AA26" s="54">
        <v>10</v>
      </c>
      <c r="AB26" s="119">
        <f>AA26*2500</f>
        <v>25000</v>
      </c>
      <c r="AC26" s="54"/>
      <c r="AD26" s="180"/>
    </row>
    <row r="27" spans="1:30" s="38" customFormat="1" ht="15" x14ac:dyDescent="0.25">
      <c r="A27" s="25"/>
      <c r="B27" s="209" t="s">
        <v>33</v>
      </c>
      <c r="C27" s="64">
        <f t="shared" si="7"/>
        <v>23</v>
      </c>
      <c r="D27" s="64">
        <f t="shared" si="6"/>
        <v>57500</v>
      </c>
      <c r="E27" s="64">
        <f t="shared" si="6"/>
        <v>0</v>
      </c>
      <c r="F27" s="64">
        <f t="shared" si="6"/>
        <v>0</v>
      </c>
      <c r="G27" s="54"/>
      <c r="H27" s="119"/>
      <c r="I27" s="54"/>
      <c r="J27" s="54"/>
      <c r="K27" s="47">
        <v>15</v>
      </c>
      <c r="L27" s="119">
        <f>K27*2500</f>
        <v>37500</v>
      </c>
      <c r="M27" s="54"/>
      <c r="N27" s="54"/>
      <c r="O27" s="47">
        <v>6</v>
      </c>
      <c r="P27" s="119">
        <f>O27*2500</f>
        <v>15000</v>
      </c>
      <c r="Q27" s="54"/>
      <c r="R27" s="54"/>
      <c r="S27" s="54"/>
      <c r="T27" s="119"/>
      <c r="U27" s="54"/>
      <c r="V27" s="54"/>
      <c r="W27" s="47">
        <v>2</v>
      </c>
      <c r="X27" s="119">
        <f>W27*2500</f>
        <v>5000</v>
      </c>
      <c r="Y27" s="54"/>
      <c r="Z27" s="54"/>
      <c r="AA27" s="54"/>
      <c r="AB27" s="119"/>
      <c r="AC27" s="54"/>
      <c r="AD27" s="180"/>
    </row>
    <row r="28" spans="1:30" s="38" customFormat="1" x14ac:dyDescent="0.2">
      <c r="A28" s="25"/>
      <c r="B28" s="209" t="s">
        <v>35</v>
      </c>
      <c r="C28" s="64">
        <f t="shared" si="7"/>
        <v>27</v>
      </c>
      <c r="D28" s="64">
        <f t="shared" si="6"/>
        <v>54000</v>
      </c>
      <c r="E28" s="64">
        <f t="shared" si="6"/>
        <v>0</v>
      </c>
      <c r="F28" s="64">
        <f t="shared" si="6"/>
        <v>0</v>
      </c>
      <c r="G28" s="54"/>
      <c r="H28" s="119"/>
      <c r="I28" s="54"/>
      <c r="J28" s="54"/>
      <c r="K28" s="54">
        <v>15</v>
      </c>
      <c r="L28" s="119">
        <f>K28*2000</f>
        <v>30000</v>
      </c>
      <c r="M28" s="54"/>
      <c r="N28" s="54"/>
      <c r="O28" s="54">
        <v>2</v>
      </c>
      <c r="P28" s="119">
        <f>O28*2000</f>
        <v>4000</v>
      </c>
      <c r="Q28" s="54"/>
      <c r="R28" s="54"/>
      <c r="S28" s="54"/>
      <c r="T28" s="119"/>
      <c r="U28" s="54"/>
      <c r="V28" s="54"/>
      <c r="W28" s="54"/>
      <c r="X28" s="119"/>
      <c r="Y28" s="54"/>
      <c r="Z28" s="54"/>
      <c r="AA28" s="54">
        <v>10</v>
      </c>
      <c r="AB28" s="119">
        <f>AA28*2000</f>
        <v>20000</v>
      </c>
      <c r="AC28" s="54"/>
      <c r="AD28" s="180"/>
    </row>
    <row r="29" spans="1:30" s="38" customFormat="1" ht="15" x14ac:dyDescent="0.25">
      <c r="A29" s="25"/>
      <c r="B29" s="209" t="s">
        <v>36</v>
      </c>
      <c r="C29" s="64">
        <f t="shared" si="7"/>
        <v>6</v>
      </c>
      <c r="D29" s="64">
        <f t="shared" si="6"/>
        <v>30000</v>
      </c>
      <c r="E29" s="64">
        <f t="shared" si="6"/>
        <v>0</v>
      </c>
      <c r="F29" s="64">
        <f t="shared" si="6"/>
        <v>0</v>
      </c>
      <c r="G29" s="47">
        <v>3</v>
      </c>
      <c r="H29" s="119">
        <f>G29*5000</f>
        <v>15000</v>
      </c>
      <c r="I29" s="54"/>
      <c r="J29" s="54"/>
      <c r="K29" s="54">
        <v>1</v>
      </c>
      <c r="L29" s="119">
        <f>K29*5000</f>
        <v>5000</v>
      </c>
      <c r="M29" s="54"/>
      <c r="N29" s="54"/>
      <c r="O29" s="54">
        <v>1</v>
      </c>
      <c r="P29" s="119">
        <f>O29*5000</f>
        <v>5000</v>
      </c>
      <c r="Q29" s="54"/>
      <c r="R29" s="54"/>
      <c r="S29" s="47"/>
      <c r="T29" s="119"/>
      <c r="U29" s="54"/>
      <c r="V29" s="54"/>
      <c r="W29" s="54">
        <v>1</v>
      </c>
      <c r="X29" s="119">
        <f>W29*5000</f>
        <v>5000</v>
      </c>
      <c r="Y29" s="54"/>
      <c r="Z29" s="54"/>
      <c r="AA29" s="54"/>
      <c r="AB29" s="119"/>
      <c r="AC29" s="54"/>
      <c r="AD29" s="180"/>
    </row>
    <row r="30" spans="1:30" s="38" customFormat="1" ht="15" x14ac:dyDescent="0.25">
      <c r="A30" s="25"/>
      <c r="B30" s="209" t="s">
        <v>37</v>
      </c>
      <c r="C30" s="64">
        <f t="shared" si="7"/>
        <v>10</v>
      </c>
      <c r="D30" s="64">
        <f t="shared" si="6"/>
        <v>30000</v>
      </c>
      <c r="E30" s="64">
        <f t="shared" si="6"/>
        <v>0</v>
      </c>
      <c r="F30" s="64">
        <f t="shared" si="6"/>
        <v>0</v>
      </c>
      <c r="G30" s="54"/>
      <c r="H30" s="119">
        <f>G30*3000</f>
        <v>0</v>
      </c>
      <c r="I30" s="54"/>
      <c r="J30" s="54"/>
      <c r="K30" s="54"/>
      <c r="L30" s="119">
        <f>K30*3000</f>
        <v>0</v>
      </c>
      <c r="M30" s="54"/>
      <c r="N30" s="54"/>
      <c r="O30" s="54"/>
      <c r="P30" s="119">
        <f>O30*3000</f>
        <v>0</v>
      </c>
      <c r="Q30" s="54"/>
      <c r="R30" s="54"/>
      <c r="S30" s="47">
        <v>10</v>
      </c>
      <c r="T30" s="119">
        <f>S30*3000</f>
        <v>30000</v>
      </c>
      <c r="U30" s="54"/>
      <c r="V30" s="54"/>
      <c r="W30" s="47"/>
      <c r="X30" s="119">
        <f>W30*3000</f>
        <v>0</v>
      </c>
      <c r="Y30" s="54"/>
      <c r="Z30" s="54"/>
      <c r="AA30" s="54"/>
      <c r="AB30" s="119">
        <f>AA30*3000</f>
        <v>0</v>
      </c>
      <c r="AC30" s="54"/>
      <c r="AD30" s="180"/>
    </row>
    <row r="31" spans="1:30" s="38" customFormat="1" ht="15" x14ac:dyDescent="0.25">
      <c r="A31" s="25"/>
      <c r="B31" s="48" t="s">
        <v>38</v>
      </c>
      <c r="C31" s="64">
        <f t="shared" si="7"/>
        <v>7</v>
      </c>
      <c r="D31" s="64">
        <f t="shared" si="6"/>
        <v>17500</v>
      </c>
      <c r="E31" s="64">
        <f t="shared" si="6"/>
        <v>0</v>
      </c>
      <c r="F31" s="64">
        <f t="shared" si="6"/>
        <v>0</v>
      </c>
      <c r="G31" s="54"/>
      <c r="H31" s="119">
        <f>G31*2500</f>
        <v>0</v>
      </c>
      <c r="I31" s="54"/>
      <c r="J31" s="54"/>
      <c r="K31" s="54"/>
      <c r="L31" s="119">
        <f>K31*2500</f>
        <v>0</v>
      </c>
      <c r="M31" s="54"/>
      <c r="N31" s="54"/>
      <c r="O31" s="54"/>
      <c r="P31" s="119">
        <f>O31*2500</f>
        <v>0</v>
      </c>
      <c r="Q31" s="54"/>
      <c r="R31" s="54"/>
      <c r="S31" s="47">
        <v>5</v>
      </c>
      <c r="T31" s="119">
        <f>S31*2500</f>
        <v>12500</v>
      </c>
      <c r="U31" s="54"/>
      <c r="V31" s="54"/>
      <c r="W31" s="54">
        <v>2</v>
      </c>
      <c r="X31" s="119">
        <f>W31*2500</f>
        <v>5000</v>
      </c>
      <c r="Y31" s="54"/>
      <c r="Z31" s="54"/>
      <c r="AA31" s="47"/>
      <c r="AB31" s="119">
        <f>AA31*2500</f>
        <v>0</v>
      </c>
      <c r="AC31" s="54"/>
      <c r="AD31" s="180"/>
    </row>
    <row r="32" spans="1:30" s="38" customFormat="1" x14ac:dyDescent="0.2">
      <c r="A32" s="25"/>
      <c r="B32" s="209" t="s">
        <v>39</v>
      </c>
      <c r="C32" s="64">
        <f t="shared" si="7"/>
        <v>0</v>
      </c>
      <c r="D32" s="64">
        <f t="shared" si="6"/>
        <v>0</v>
      </c>
      <c r="E32" s="64">
        <f t="shared" si="6"/>
        <v>0</v>
      </c>
      <c r="F32" s="64">
        <f t="shared" si="6"/>
        <v>0</v>
      </c>
      <c r="G32" s="54"/>
      <c r="H32" s="119">
        <f>G32*2000</f>
        <v>0</v>
      </c>
      <c r="I32" s="54"/>
      <c r="J32" s="54"/>
      <c r="K32" s="54"/>
      <c r="L32" s="119">
        <f>K32*2000</f>
        <v>0</v>
      </c>
      <c r="M32" s="54"/>
      <c r="N32" s="54"/>
      <c r="O32" s="54"/>
      <c r="P32" s="119">
        <f>O32*2000</f>
        <v>0</v>
      </c>
      <c r="Q32" s="54"/>
      <c r="R32" s="54"/>
      <c r="S32" s="54"/>
      <c r="T32" s="119">
        <f>S32*2000</f>
        <v>0</v>
      </c>
      <c r="U32" s="54"/>
      <c r="V32" s="54"/>
      <c r="W32" s="54"/>
      <c r="X32" s="119">
        <f>W32*2000</f>
        <v>0</v>
      </c>
      <c r="Y32" s="54"/>
      <c r="Z32" s="54"/>
      <c r="AA32" s="54"/>
      <c r="AB32" s="119">
        <f>AA32*2000</f>
        <v>0</v>
      </c>
      <c r="AC32" s="54"/>
      <c r="AD32" s="180"/>
    </row>
    <row r="33" spans="1:30" s="38" customFormat="1" x14ac:dyDescent="0.2">
      <c r="A33" s="25"/>
      <c r="B33" s="209" t="s">
        <v>40</v>
      </c>
      <c r="C33" s="64">
        <f t="shared" si="7"/>
        <v>0</v>
      </c>
      <c r="D33" s="64">
        <f t="shared" si="6"/>
        <v>0</v>
      </c>
      <c r="E33" s="64">
        <f t="shared" si="6"/>
        <v>0</v>
      </c>
      <c r="F33" s="64">
        <f t="shared" si="6"/>
        <v>0</v>
      </c>
      <c r="G33" s="54"/>
      <c r="H33" s="119">
        <f>G33*3000</f>
        <v>0</v>
      </c>
      <c r="I33" s="54"/>
      <c r="J33" s="54"/>
      <c r="K33" s="54"/>
      <c r="L33" s="119">
        <f>K33*3000</f>
        <v>0</v>
      </c>
      <c r="M33" s="54"/>
      <c r="N33" s="54"/>
      <c r="O33" s="54"/>
      <c r="P33" s="119">
        <f>O33*3000</f>
        <v>0</v>
      </c>
      <c r="Q33" s="54"/>
      <c r="R33" s="54"/>
      <c r="S33" s="54"/>
      <c r="T33" s="119">
        <f>S33*3000</f>
        <v>0</v>
      </c>
      <c r="U33" s="54"/>
      <c r="V33" s="54"/>
      <c r="W33" s="54"/>
      <c r="X33" s="119">
        <f>W33*3000</f>
        <v>0</v>
      </c>
      <c r="Y33" s="54"/>
      <c r="Z33" s="54"/>
      <c r="AA33" s="54"/>
      <c r="AB33" s="119">
        <f>AA33*3000</f>
        <v>0</v>
      </c>
      <c r="AC33" s="54"/>
      <c r="AD33" s="180"/>
    </row>
    <row r="34" spans="1:30" s="38" customFormat="1" ht="15" x14ac:dyDescent="0.25">
      <c r="A34" s="25"/>
      <c r="B34" s="209" t="s">
        <v>41</v>
      </c>
      <c r="C34" s="64">
        <f t="shared" si="7"/>
        <v>0</v>
      </c>
      <c r="D34" s="64">
        <f t="shared" si="6"/>
        <v>0</v>
      </c>
      <c r="E34" s="64">
        <f t="shared" si="6"/>
        <v>0</v>
      </c>
      <c r="F34" s="64">
        <f t="shared" si="6"/>
        <v>0</v>
      </c>
      <c r="G34" s="54"/>
      <c r="H34" s="119">
        <f>G34*2500</f>
        <v>0</v>
      </c>
      <c r="I34" s="54"/>
      <c r="J34" s="54"/>
      <c r="K34" s="47"/>
      <c r="L34" s="119">
        <f>K34*2500</f>
        <v>0</v>
      </c>
      <c r="M34" s="54"/>
      <c r="N34" s="54"/>
      <c r="O34" s="47"/>
      <c r="P34" s="119">
        <f>O34*2500</f>
        <v>0</v>
      </c>
      <c r="Q34" s="54"/>
      <c r="R34" s="54"/>
      <c r="S34" s="54"/>
      <c r="T34" s="119">
        <f>S34*2500</f>
        <v>0</v>
      </c>
      <c r="U34" s="54"/>
      <c r="V34" s="54"/>
      <c r="W34" s="54"/>
      <c r="X34" s="119">
        <f>W34*2500</f>
        <v>0</v>
      </c>
      <c r="Y34" s="54"/>
      <c r="Z34" s="54"/>
      <c r="AA34" s="54"/>
      <c r="AB34" s="119">
        <f>AA34*2500</f>
        <v>0</v>
      </c>
      <c r="AC34" s="54"/>
      <c r="AD34" s="180"/>
    </row>
    <row r="35" spans="1:30" s="38" customFormat="1" ht="15" x14ac:dyDescent="0.25">
      <c r="A35" s="25"/>
      <c r="B35" s="209" t="s">
        <v>42</v>
      </c>
      <c r="C35" s="64">
        <f t="shared" si="7"/>
        <v>0</v>
      </c>
      <c r="D35" s="64">
        <f t="shared" si="6"/>
        <v>0</v>
      </c>
      <c r="E35" s="64">
        <f t="shared" si="6"/>
        <v>0</v>
      </c>
      <c r="F35" s="64">
        <f t="shared" si="6"/>
        <v>0</v>
      </c>
      <c r="G35" s="47"/>
      <c r="H35" s="119">
        <f>G35*2000</f>
        <v>0</v>
      </c>
      <c r="I35" s="54"/>
      <c r="J35" s="54"/>
      <c r="K35" s="54"/>
      <c r="L35" s="119">
        <f>K35*2000</f>
        <v>0</v>
      </c>
      <c r="M35" s="54"/>
      <c r="N35" s="54"/>
      <c r="O35" s="54"/>
      <c r="P35" s="119">
        <f>O35*2000</f>
        <v>0</v>
      </c>
      <c r="Q35" s="54"/>
      <c r="R35" s="54"/>
      <c r="S35" s="54"/>
      <c r="T35" s="119">
        <f>S35*2000</f>
        <v>0</v>
      </c>
      <c r="U35" s="54"/>
      <c r="V35" s="54"/>
      <c r="W35" s="54"/>
      <c r="X35" s="119">
        <f>W35*2000</f>
        <v>0</v>
      </c>
      <c r="Y35" s="54"/>
      <c r="Z35" s="54"/>
      <c r="AA35" s="54"/>
      <c r="AB35" s="119">
        <f>AA35*2000</f>
        <v>0</v>
      </c>
      <c r="AC35" s="54"/>
      <c r="AD35" s="180"/>
    </row>
    <row r="36" spans="1:30" s="38" customFormat="1" x14ac:dyDescent="0.2">
      <c r="A36" s="25"/>
      <c r="B36" s="48" t="s">
        <v>43</v>
      </c>
      <c r="C36" s="64">
        <f t="shared" si="7"/>
        <v>2</v>
      </c>
      <c r="D36" s="64">
        <f t="shared" si="6"/>
        <v>2400</v>
      </c>
      <c r="E36" s="64">
        <f t="shared" si="6"/>
        <v>0</v>
      </c>
      <c r="F36" s="64">
        <f t="shared" si="6"/>
        <v>0</v>
      </c>
      <c r="G36" s="54"/>
      <c r="H36" s="119"/>
      <c r="I36" s="54"/>
      <c r="J36" s="54"/>
      <c r="K36" s="54"/>
      <c r="L36" s="119"/>
      <c r="M36" s="54"/>
      <c r="N36" s="54"/>
      <c r="O36" s="54"/>
      <c r="P36" s="119"/>
      <c r="Q36" s="54"/>
      <c r="R36" s="54"/>
      <c r="S36" s="54"/>
      <c r="T36" s="119"/>
      <c r="U36" s="54"/>
      <c r="V36" s="54"/>
      <c r="W36" s="54">
        <v>2</v>
      </c>
      <c r="X36" s="119">
        <f>W36*1200</f>
        <v>2400</v>
      </c>
      <c r="Y36" s="54"/>
      <c r="Z36" s="54"/>
      <c r="AA36" s="54"/>
      <c r="AB36" s="119"/>
      <c r="AC36" s="54"/>
      <c r="AD36" s="180"/>
    </row>
    <row r="37" spans="1:30" s="38" customFormat="1" x14ac:dyDescent="0.2">
      <c r="A37" s="25"/>
      <c r="B37" s="48" t="s">
        <v>44</v>
      </c>
      <c r="C37" s="64">
        <f t="shared" si="7"/>
        <v>4</v>
      </c>
      <c r="D37" s="64">
        <f t="shared" si="6"/>
        <v>8000</v>
      </c>
      <c r="E37" s="64">
        <f t="shared" si="6"/>
        <v>0</v>
      </c>
      <c r="F37" s="64">
        <f t="shared" si="6"/>
        <v>0</v>
      </c>
      <c r="G37" s="54"/>
      <c r="H37" s="119"/>
      <c r="I37" s="54"/>
      <c r="J37" s="54"/>
      <c r="K37" s="54"/>
      <c r="L37" s="119"/>
      <c r="M37" s="54"/>
      <c r="N37" s="54"/>
      <c r="O37" s="54"/>
      <c r="P37" s="119"/>
      <c r="Q37" s="54"/>
      <c r="R37" s="54"/>
      <c r="S37" s="54"/>
      <c r="T37" s="119"/>
      <c r="U37" s="54"/>
      <c r="V37" s="54"/>
      <c r="W37" s="54"/>
      <c r="X37" s="119">
        <f>W37*2000</f>
        <v>0</v>
      </c>
      <c r="Y37" s="54"/>
      <c r="Z37" s="54"/>
      <c r="AA37" s="54">
        <v>4</v>
      </c>
      <c r="AB37" s="119">
        <f>AA37*2000</f>
        <v>8000</v>
      </c>
      <c r="AC37" s="54"/>
      <c r="AD37" s="180"/>
    </row>
    <row r="38" spans="1:30" s="38" customFormat="1" x14ac:dyDescent="0.2">
      <c r="A38" s="25"/>
      <c r="B38" s="48" t="s">
        <v>45</v>
      </c>
      <c r="C38" s="64">
        <f t="shared" si="7"/>
        <v>5</v>
      </c>
      <c r="D38" s="64">
        <f t="shared" si="6"/>
        <v>37500</v>
      </c>
      <c r="E38" s="64">
        <f t="shared" si="6"/>
        <v>0</v>
      </c>
      <c r="F38" s="64">
        <f t="shared" si="6"/>
        <v>0</v>
      </c>
      <c r="G38" s="54"/>
      <c r="H38" s="119">
        <f>G38*7500</f>
        <v>0</v>
      </c>
      <c r="I38" s="54"/>
      <c r="J38" s="54"/>
      <c r="K38" s="54">
        <v>1</v>
      </c>
      <c r="L38" s="119">
        <f>K38*7500</f>
        <v>7500</v>
      </c>
      <c r="M38" s="54"/>
      <c r="N38" s="54"/>
      <c r="O38" s="54">
        <v>4</v>
      </c>
      <c r="P38" s="119">
        <f>O38*7500</f>
        <v>30000</v>
      </c>
      <c r="Q38" s="54"/>
      <c r="R38" s="54"/>
      <c r="S38" s="54"/>
      <c r="T38" s="119"/>
      <c r="U38" s="54"/>
      <c r="V38" s="54"/>
      <c r="W38" s="54"/>
      <c r="X38" s="119"/>
      <c r="Y38" s="54"/>
      <c r="Z38" s="54"/>
      <c r="AA38" s="54"/>
      <c r="AB38" s="119"/>
      <c r="AC38" s="54"/>
      <c r="AD38" s="180"/>
    </row>
    <row r="39" spans="1:30" s="38" customFormat="1" x14ac:dyDescent="0.2">
      <c r="A39" s="25"/>
      <c r="B39" s="48" t="s">
        <v>46</v>
      </c>
      <c r="C39" s="64">
        <f t="shared" si="7"/>
        <v>0</v>
      </c>
      <c r="D39" s="64">
        <f t="shared" si="6"/>
        <v>0</v>
      </c>
      <c r="E39" s="64">
        <f t="shared" si="6"/>
        <v>0</v>
      </c>
      <c r="F39" s="64">
        <f t="shared" si="6"/>
        <v>0</v>
      </c>
      <c r="G39" s="54"/>
      <c r="H39" s="119">
        <f>G39*9000</f>
        <v>0</v>
      </c>
      <c r="I39" s="54"/>
      <c r="J39" s="54"/>
      <c r="K39" s="54"/>
      <c r="L39" s="119">
        <f>K39*9000</f>
        <v>0</v>
      </c>
      <c r="M39" s="54"/>
      <c r="N39" s="54"/>
      <c r="O39" s="54"/>
      <c r="P39" s="119">
        <f>O39*9000</f>
        <v>0</v>
      </c>
      <c r="Q39" s="54"/>
      <c r="R39" s="54"/>
      <c r="S39" s="54"/>
      <c r="T39" s="119"/>
      <c r="U39" s="54"/>
      <c r="V39" s="54"/>
      <c r="W39" s="54"/>
      <c r="X39" s="119"/>
      <c r="Y39" s="54"/>
      <c r="Z39" s="54"/>
      <c r="AA39" s="54"/>
      <c r="AB39" s="119"/>
      <c r="AC39" s="54"/>
      <c r="AD39" s="180"/>
    </row>
    <row r="40" spans="1:30" s="38" customFormat="1" ht="15" x14ac:dyDescent="0.25">
      <c r="A40" s="25"/>
      <c r="B40" s="209" t="s">
        <v>47</v>
      </c>
      <c r="C40" s="64">
        <f t="shared" si="7"/>
        <v>6</v>
      </c>
      <c r="D40" s="64">
        <f t="shared" si="6"/>
        <v>9000</v>
      </c>
      <c r="E40" s="64">
        <f t="shared" si="6"/>
        <v>0</v>
      </c>
      <c r="F40" s="64">
        <f t="shared" si="6"/>
        <v>0</v>
      </c>
      <c r="G40" s="54"/>
      <c r="H40" s="119"/>
      <c r="I40" s="54"/>
      <c r="J40" s="54"/>
      <c r="K40" s="54">
        <v>2</v>
      </c>
      <c r="L40" s="119">
        <f>1500*K40</f>
        <v>3000</v>
      </c>
      <c r="M40" s="54"/>
      <c r="N40" s="54"/>
      <c r="O40" s="54"/>
      <c r="P40" s="119"/>
      <c r="Q40" s="54"/>
      <c r="R40" s="54"/>
      <c r="S40" s="54"/>
      <c r="T40" s="119"/>
      <c r="U40" s="54"/>
      <c r="V40" s="54"/>
      <c r="W40" s="47">
        <v>4</v>
      </c>
      <c r="X40" s="119">
        <f>1500*W40</f>
        <v>6000</v>
      </c>
      <c r="Y40" s="54"/>
      <c r="Z40" s="54"/>
      <c r="AA40" s="54"/>
      <c r="AB40" s="119"/>
      <c r="AC40" s="54"/>
      <c r="AD40" s="180"/>
    </row>
    <row r="41" spans="1:30" s="38" customFormat="1" x14ac:dyDescent="0.2">
      <c r="A41" s="25"/>
      <c r="B41" s="209" t="s">
        <v>48</v>
      </c>
      <c r="C41" s="64">
        <f t="shared" si="7"/>
        <v>24</v>
      </c>
      <c r="D41" s="64">
        <f t="shared" si="6"/>
        <v>19200</v>
      </c>
      <c r="E41" s="64">
        <f t="shared" si="6"/>
        <v>0</v>
      </c>
      <c r="F41" s="64">
        <f t="shared" si="6"/>
        <v>0</v>
      </c>
      <c r="G41" s="54"/>
      <c r="H41" s="119"/>
      <c r="I41" s="54"/>
      <c r="J41" s="54"/>
      <c r="K41" s="54">
        <v>8</v>
      </c>
      <c r="L41" s="119">
        <f>800*K41</f>
        <v>6400</v>
      </c>
      <c r="M41" s="54"/>
      <c r="N41" s="54"/>
      <c r="O41" s="54"/>
      <c r="P41" s="119"/>
      <c r="Q41" s="54"/>
      <c r="R41" s="54"/>
      <c r="S41" s="54"/>
      <c r="T41" s="119"/>
      <c r="U41" s="54"/>
      <c r="V41" s="54"/>
      <c r="W41" s="54">
        <v>16</v>
      </c>
      <c r="X41" s="119">
        <f>800*W41</f>
        <v>12800</v>
      </c>
      <c r="Y41" s="54"/>
      <c r="Z41" s="54"/>
      <c r="AA41" s="54"/>
      <c r="AB41" s="119"/>
      <c r="AC41" s="54"/>
      <c r="AD41" s="180"/>
    </row>
    <row r="42" spans="1:30" s="38" customFormat="1" x14ac:dyDescent="0.2">
      <c r="A42" s="25"/>
      <c r="B42" s="48" t="s">
        <v>49</v>
      </c>
      <c r="C42" s="64">
        <f t="shared" si="7"/>
        <v>0</v>
      </c>
      <c r="D42" s="64">
        <f t="shared" si="6"/>
        <v>0</v>
      </c>
      <c r="E42" s="64">
        <f t="shared" si="6"/>
        <v>0</v>
      </c>
      <c r="F42" s="64">
        <f t="shared" si="6"/>
        <v>0</v>
      </c>
      <c r="G42" s="54"/>
      <c r="H42" s="119"/>
      <c r="I42" s="54"/>
      <c r="J42" s="54"/>
      <c r="K42" s="54"/>
      <c r="L42" s="119"/>
      <c r="M42" s="54"/>
      <c r="N42" s="54"/>
      <c r="O42" s="54"/>
      <c r="P42" s="119"/>
      <c r="Q42" s="54"/>
      <c r="R42" s="54"/>
      <c r="S42" s="54"/>
      <c r="T42" s="119"/>
      <c r="U42" s="54"/>
      <c r="V42" s="54"/>
      <c r="W42" s="54"/>
      <c r="X42" s="119"/>
      <c r="Y42" s="54"/>
      <c r="Z42" s="54"/>
      <c r="AA42" s="54"/>
      <c r="AB42" s="119"/>
      <c r="AC42" s="54"/>
      <c r="AD42" s="180"/>
    </row>
    <row r="43" spans="1:30" s="38" customFormat="1" ht="15" x14ac:dyDescent="0.25">
      <c r="A43" s="25"/>
      <c r="B43" s="48" t="s">
        <v>50</v>
      </c>
      <c r="C43" s="64">
        <f t="shared" si="7"/>
        <v>2</v>
      </c>
      <c r="D43" s="64">
        <f t="shared" si="6"/>
        <v>6000</v>
      </c>
      <c r="E43" s="64">
        <f t="shared" si="6"/>
        <v>0</v>
      </c>
      <c r="F43" s="64">
        <f t="shared" si="6"/>
        <v>0</v>
      </c>
      <c r="G43" s="54"/>
      <c r="H43" s="119">
        <f>G43*3000</f>
        <v>0</v>
      </c>
      <c r="I43" s="54"/>
      <c r="J43" s="54"/>
      <c r="K43" s="54">
        <v>2</v>
      </c>
      <c r="L43" s="119">
        <f>K43*3000</f>
        <v>6000</v>
      </c>
      <c r="M43" s="54"/>
      <c r="N43" s="54"/>
      <c r="O43" s="54"/>
      <c r="P43" s="119"/>
      <c r="Q43" s="54"/>
      <c r="R43" s="54"/>
      <c r="S43" s="54"/>
      <c r="T43" s="119"/>
      <c r="U43" s="54"/>
      <c r="V43" s="54"/>
      <c r="W43" s="54"/>
      <c r="X43" s="119"/>
      <c r="Y43" s="54"/>
      <c r="Z43" s="54"/>
      <c r="AA43" s="47"/>
      <c r="AB43" s="119"/>
      <c r="AC43" s="54"/>
      <c r="AD43" s="180"/>
    </row>
    <row r="44" spans="1:30" s="38" customFormat="1" x14ac:dyDescent="0.2">
      <c r="A44" s="25"/>
      <c r="B44" s="48" t="s">
        <v>51</v>
      </c>
      <c r="C44" s="64">
        <f t="shared" si="7"/>
        <v>5</v>
      </c>
      <c r="D44" s="64">
        <f t="shared" si="6"/>
        <v>20000</v>
      </c>
      <c r="E44" s="64">
        <f t="shared" si="6"/>
        <v>0</v>
      </c>
      <c r="F44" s="64">
        <f t="shared" si="6"/>
        <v>0</v>
      </c>
      <c r="G44" s="54">
        <v>5</v>
      </c>
      <c r="H44" s="119">
        <f>G44*4000</f>
        <v>20000</v>
      </c>
      <c r="I44" s="54"/>
      <c r="J44" s="54"/>
      <c r="K44" s="54"/>
      <c r="L44" s="119">
        <f>K44*4000</f>
        <v>0</v>
      </c>
      <c r="M44" s="54"/>
      <c r="N44" s="54"/>
      <c r="O44" s="54"/>
      <c r="P44" s="119"/>
      <c r="Q44" s="54"/>
      <c r="R44" s="54"/>
      <c r="S44" s="54"/>
      <c r="T44" s="119"/>
      <c r="U44" s="54"/>
      <c r="V44" s="54"/>
      <c r="W44" s="54"/>
      <c r="X44" s="119"/>
      <c r="Y44" s="54"/>
      <c r="Z44" s="54"/>
      <c r="AA44" s="54"/>
      <c r="AB44" s="119"/>
      <c r="AC44" s="54"/>
      <c r="AD44" s="180"/>
    </row>
    <row r="45" spans="1:30" s="38" customFormat="1" ht="15" x14ac:dyDescent="0.25">
      <c r="A45" s="25"/>
      <c r="B45" s="48" t="s">
        <v>52</v>
      </c>
      <c r="C45" s="64">
        <f t="shared" si="7"/>
        <v>27</v>
      </c>
      <c r="D45" s="64">
        <f t="shared" si="6"/>
        <v>81000</v>
      </c>
      <c r="E45" s="64">
        <f t="shared" si="6"/>
        <v>0</v>
      </c>
      <c r="F45" s="64">
        <f t="shared" si="6"/>
        <v>0</v>
      </c>
      <c r="G45" s="47">
        <v>10</v>
      </c>
      <c r="H45" s="119">
        <f>G45*3000</f>
        <v>30000</v>
      </c>
      <c r="I45" s="54"/>
      <c r="J45" s="54"/>
      <c r="K45" s="47">
        <v>3</v>
      </c>
      <c r="L45" s="119">
        <f>K45*3000</f>
        <v>9000</v>
      </c>
      <c r="M45" s="54"/>
      <c r="N45" s="54"/>
      <c r="O45" s="47"/>
      <c r="P45" s="119"/>
      <c r="Q45" s="54"/>
      <c r="R45" s="54"/>
      <c r="S45" s="54">
        <v>10</v>
      </c>
      <c r="T45" s="119">
        <f>S45*3000</f>
        <v>30000</v>
      </c>
      <c r="U45" s="54"/>
      <c r="V45" s="54"/>
      <c r="W45" s="47"/>
      <c r="X45" s="119">
        <f>W45*3000</f>
        <v>0</v>
      </c>
      <c r="Y45" s="54"/>
      <c r="Z45" s="54"/>
      <c r="AA45" s="47">
        <v>4</v>
      </c>
      <c r="AB45" s="119">
        <f>AA45*3000</f>
        <v>12000</v>
      </c>
      <c r="AC45" s="54"/>
      <c r="AD45" s="180"/>
    </row>
    <row r="46" spans="1:30" s="38" customFormat="1" ht="15" x14ac:dyDescent="0.25">
      <c r="A46" s="25"/>
      <c r="B46" s="209" t="s">
        <v>53</v>
      </c>
      <c r="C46" s="64">
        <f t="shared" si="7"/>
        <v>21</v>
      </c>
      <c r="D46" s="64">
        <f t="shared" si="6"/>
        <v>63000</v>
      </c>
      <c r="E46" s="64">
        <f t="shared" si="6"/>
        <v>0</v>
      </c>
      <c r="F46" s="64">
        <f t="shared" si="6"/>
        <v>0</v>
      </c>
      <c r="G46" s="54">
        <v>16</v>
      </c>
      <c r="H46" s="119">
        <f>G46*3000</f>
        <v>48000</v>
      </c>
      <c r="I46" s="54"/>
      <c r="J46" s="54"/>
      <c r="K46" s="47"/>
      <c r="L46" s="119">
        <f>K46*3000</f>
        <v>0</v>
      </c>
      <c r="M46" s="54"/>
      <c r="N46" s="54"/>
      <c r="O46" s="54"/>
      <c r="P46" s="119"/>
      <c r="Q46" s="54"/>
      <c r="R46" s="54"/>
      <c r="S46" s="54"/>
      <c r="T46" s="119">
        <f>S46*3000</f>
        <v>0</v>
      </c>
      <c r="U46" s="54"/>
      <c r="V46" s="54"/>
      <c r="W46" s="54">
        <v>5</v>
      </c>
      <c r="X46" s="119">
        <f>W46*3000</f>
        <v>15000</v>
      </c>
      <c r="Y46" s="54"/>
      <c r="Z46" s="54"/>
      <c r="AA46" s="54"/>
      <c r="AB46" s="119">
        <f>AA46*3000</f>
        <v>0</v>
      </c>
      <c r="AC46" s="54"/>
      <c r="AD46" s="180"/>
    </row>
    <row r="47" spans="1:30" s="38" customFormat="1" ht="15.75" thickBot="1" x14ac:dyDescent="0.3">
      <c r="A47" s="187"/>
      <c r="B47" s="188" t="s">
        <v>54</v>
      </c>
      <c r="C47" s="241">
        <f t="shared" si="7"/>
        <v>32</v>
      </c>
      <c r="D47" s="241">
        <f t="shared" si="6"/>
        <v>144000</v>
      </c>
      <c r="E47" s="241">
        <f t="shared" si="6"/>
        <v>0</v>
      </c>
      <c r="F47" s="241">
        <f t="shared" si="6"/>
        <v>0</v>
      </c>
      <c r="G47" s="120">
        <v>20</v>
      </c>
      <c r="H47" s="189">
        <f>G47*4500</f>
        <v>90000</v>
      </c>
      <c r="I47" s="202"/>
      <c r="J47" s="202"/>
      <c r="K47" s="120"/>
      <c r="L47" s="189">
        <f>K47*4500</f>
        <v>0</v>
      </c>
      <c r="M47" s="202"/>
      <c r="N47" s="202"/>
      <c r="O47" s="120"/>
      <c r="P47" s="189"/>
      <c r="Q47" s="202"/>
      <c r="R47" s="202"/>
      <c r="S47" s="120">
        <v>10</v>
      </c>
      <c r="T47" s="189">
        <f>S47*4500</f>
        <v>45000</v>
      </c>
      <c r="U47" s="202"/>
      <c r="V47" s="202"/>
      <c r="W47" s="202">
        <v>2</v>
      </c>
      <c r="X47" s="189">
        <f>W47*4500</f>
        <v>9000</v>
      </c>
      <c r="Y47" s="202"/>
      <c r="Z47" s="202"/>
      <c r="AA47" s="120"/>
      <c r="AB47" s="189">
        <f>AA47*4500</f>
        <v>0</v>
      </c>
      <c r="AC47" s="202"/>
      <c r="AD47" s="191"/>
    </row>
    <row r="48" spans="1:30" ht="13.5" thickBot="1" x14ac:dyDescent="0.25">
      <c r="A48" s="171"/>
      <c r="B48" s="172" t="s">
        <v>154</v>
      </c>
      <c r="C48" s="173">
        <f>SUM(C14:C47)</f>
        <v>309</v>
      </c>
      <c r="D48" s="173">
        <f t="shared" ref="D48:AD48" si="8">SUM(D14:D47)</f>
        <v>800300</v>
      </c>
      <c r="E48" s="173">
        <f t="shared" si="8"/>
        <v>0</v>
      </c>
      <c r="F48" s="173">
        <f t="shared" si="8"/>
        <v>0</v>
      </c>
      <c r="G48" s="173">
        <f t="shared" si="8"/>
        <v>54</v>
      </c>
      <c r="H48" s="173">
        <f t="shared" si="8"/>
        <v>203000</v>
      </c>
      <c r="I48" s="173">
        <f t="shared" si="8"/>
        <v>0</v>
      </c>
      <c r="J48" s="173">
        <f t="shared" si="8"/>
        <v>0</v>
      </c>
      <c r="K48" s="173">
        <f t="shared" si="8"/>
        <v>62</v>
      </c>
      <c r="L48" s="173">
        <f t="shared" si="8"/>
        <v>128400</v>
      </c>
      <c r="M48" s="173">
        <f t="shared" si="8"/>
        <v>0</v>
      </c>
      <c r="N48" s="173">
        <f t="shared" si="8"/>
        <v>0</v>
      </c>
      <c r="O48" s="173">
        <f t="shared" si="8"/>
        <v>56</v>
      </c>
      <c r="P48" s="173">
        <f t="shared" si="8"/>
        <v>130000</v>
      </c>
      <c r="Q48" s="173">
        <f t="shared" si="8"/>
        <v>0</v>
      </c>
      <c r="R48" s="173">
        <f t="shared" si="8"/>
        <v>0</v>
      </c>
      <c r="S48" s="173">
        <f t="shared" si="8"/>
        <v>55</v>
      </c>
      <c r="T48" s="173">
        <f t="shared" si="8"/>
        <v>154500</v>
      </c>
      <c r="U48" s="173">
        <f t="shared" si="8"/>
        <v>0</v>
      </c>
      <c r="V48" s="173">
        <f t="shared" si="8"/>
        <v>0</v>
      </c>
      <c r="W48" s="173">
        <f t="shared" si="8"/>
        <v>49</v>
      </c>
      <c r="X48" s="173">
        <f t="shared" si="8"/>
        <v>99400</v>
      </c>
      <c r="Y48" s="173">
        <f t="shared" si="8"/>
        <v>0</v>
      </c>
      <c r="Z48" s="173">
        <f t="shared" si="8"/>
        <v>0</v>
      </c>
      <c r="AA48" s="173">
        <f t="shared" si="8"/>
        <v>33</v>
      </c>
      <c r="AB48" s="173">
        <f t="shared" si="8"/>
        <v>85000</v>
      </c>
      <c r="AC48" s="173">
        <f t="shared" si="8"/>
        <v>0</v>
      </c>
      <c r="AD48" s="174">
        <f t="shared" si="8"/>
        <v>0</v>
      </c>
    </row>
    <row r="49" spans="1:30" s="38" customFormat="1" x14ac:dyDescent="0.2">
      <c r="A49" s="175" t="s">
        <v>6</v>
      </c>
      <c r="B49" s="194" t="s">
        <v>61</v>
      </c>
      <c r="C49" s="177"/>
      <c r="D49" s="178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9"/>
    </row>
    <row r="50" spans="1:30" s="38" customFormat="1" ht="15" x14ac:dyDescent="0.25">
      <c r="A50" s="25"/>
      <c r="B50" s="48" t="s">
        <v>64</v>
      </c>
      <c r="C50" s="64">
        <f t="shared" ref="C50:F50" si="9">G50+K50+O50+S50+W50+AA50</f>
        <v>24</v>
      </c>
      <c r="D50" s="64">
        <f t="shared" si="9"/>
        <v>192000</v>
      </c>
      <c r="E50" s="64">
        <f t="shared" si="9"/>
        <v>0</v>
      </c>
      <c r="F50" s="64">
        <f t="shared" si="9"/>
        <v>0</v>
      </c>
      <c r="G50" s="47">
        <v>4</v>
      </c>
      <c r="H50" s="119">
        <f>G50*8000</f>
        <v>32000</v>
      </c>
      <c r="I50" s="54"/>
      <c r="J50" s="54"/>
      <c r="K50" s="54">
        <v>4</v>
      </c>
      <c r="L50" s="119">
        <f>K50*8000</f>
        <v>32000</v>
      </c>
      <c r="M50" s="54"/>
      <c r="N50" s="54"/>
      <c r="O50" s="54">
        <v>4</v>
      </c>
      <c r="P50" s="119">
        <f>O50*8000</f>
        <v>32000</v>
      </c>
      <c r="Q50" s="54"/>
      <c r="R50" s="54"/>
      <c r="S50" s="47">
        <v>4</v>
      </c>
      <c r="T50" s="119">
        <f>S50*8000</f>
        <v>32000</v>
      </c>
      <c r="U50" s="54"/>
      <c r="V50" s="54"/>
      <c r="W50" s="47">
        <v>4</v>
      </c>
      <c r="X50" s="119">
        <f>W50*8000</f>
        <v>32000</v>
      </c>
      <c r="Y50" s="54"/>
      <c r="Z50" s="54"/>
      <c r="AA50" s="47">
        <v>4</v>
      </c>
      <c r="AB50" s="119">
        <f>AA50*8000</f>
        <v>32000</v>
      </c>
      <c r="AC50" s="54"/>
      <c r="AD50" s="180"/>
    </row>
    <row r="51" spans="1:30" s="38" customFormat="1" ht="15" x14ac:dyDescent="0.25">
      <c r="A51" s="25"/>
      <c r="B51" s="48" t="s">
        <v>65</v>
      </c>
      <c r="C51" s="64">
        <f t="shared" ref="C51:C56" si="10">G51+K51+O51+S51+W51+AA51</f>
        <v>4</v>
      </c>
      <c r="D51" s="64">
        <f t="shared" ref="D51:D56" si="11">H51+L51+P51+T51+X51+AB51</f>
        <v>72000</v>
      </c>
      <c r="E51" s="64">
        <f t="shared" ref="E51:E56" si="12">I51+M51+Q51+U51+Y51+AC51</f>
        <v>0</v>
      </c>
      <c r="F51" s="64">
        <f t="shared" ref="F51:F56" si="13">J51+N51+R51+V51+Z51+AD51</f>
        <v>0</v>
      </c>
      <c r="G51" s="47">
        <v>2</v>
      </c>
      <c r="H51" s="119">
        <f>G51*18000</f>
        <v>36000</v>
      </c>
      <c r="I51" s="54"/>
      <c r="J51" s="54"/>
      <c r="K51" s="54"/>
      <c r="L51" s="119">
        <f>K51*18000</f>
        <v>0</v>
      </c>
      <c r="M51" s="54"/>
      <c r="N51" s="54"/>
      <c r="O51" s="54">
        <v>1</v>
      </c>
      <c r="P51" s="119">
        <f>O51*18000</f>
        <v>18000</v>
      </c>
      <c r="Q51" s="54"/>
      <c r="R51" s="54"/>
      <c r="S51" s="54"/>
      <c r="T51" s="119">
        <f>S51*18000</f>
        <v>0</v>
      </c>
      <c r="U51" s="54"/>
      <c r="V51" s="54"/>
      <c r="W51" s="54"/>
      <c r="X51" s="119">
        <f>W51*18000</f>
        <v>0</v>
      </c>
      <c r="Y51" s="54"/>
      <c r="Z51" s="54"/>
      <c r="AA51" s="54">
        <v>1</v>
      </c>
      <c r="AB51" s="119">
        <f>AA51*18000</f>
        <v>18000</v>
      </c>
      <c r="AC51" s="54"/>
      <c r="AD51" s="180"/>
    </row>
    <row r="52" spans="1:30" s="38" customFormat="1" ht="15" x14ac:dyDescent="0.25">
      <c r="A52" s="25"/>
      <c r="B52" s="193" t="s">
        <v>66</v>
      </c>
      <c r="C52" s="64">
        <f t="shared" si="10"/>
        <v>5</v>
      </c>
      <c r="D52" s="64">
        <f t="shared" si="11"/>
        <v>15000</v>
      </c>
      <c r="E52" s="64">
        <f t="shared" si="12"/>
        <v>0</v>
      </c>
      <c r="F52" s="64">
        <f t="shared" si="13"/>
        <v>0</v>
      </c>
      <c r="G52" s="47">
        <v>2</v>
      </c>
      <c r="H52" s="119">
        <f>G52*3000</f>
        <v>6000</v>
      </c>
      <c r="I52" s="54"/>
      <c r="J52" s="54"/>
      <c r="K52" s="47"/>
      <c r="L52" s="119">
        <f>K52*3000</f>
        <v>0</v>
      </c>
      <c r="M52" s="54"/>
      <c r="N52" s="54"/>
      <c r="O52" s="47">
        <v>1</v>
      </c>
      <c r="P52" s="119">
        <f>O52*3000</f>
        <v>3000</v>
      </c>
      <c r="Q52" s="54"/>
      <c r="R52" s="54"/>
      <c r="S52" s="47"/>
      <c r="T52" s="119">
        <f>S52*3000</f>
        <v>0</v>
      </c>
      <c r="U52" s="54"/>
      <c r="V52" s="54"/>
      <c r="W52" s="54">
        <v>1</v>
      </c>
      <c r="X52" s="119">
        <f>W52*3000</f>
        <v>3000</v>
      </c>
      <c r="Y52" s="54"/>
      <c r="Z52" s="54"/>
      <c r="AA52" s="54">
        <v>1</v>
      </c>
      <c r="AB52" s="119">
        <f>AA52*3000</f>
        <v>3000</v>
      </c>
      <c r="AC52" s="54"/>
      <c r="AD52" s="180"/>
    </row>
    <row r="53" spans="1:30" s="38" customFormat="1" ht="15" x14ac:dyDescent="0.25">
      <c r="A53" s="25"/>
      <c r="B53" s="48" t="s">
        <v>67</v>
      </c>
      <c r="C53" s="64">
        <f t="shared" si="10"/>
        <v>6</v>
      </c>
      <c r="D53" s="64">
        <f t="shared" si="11"/>
        <v>36000</v>
      </c>
      <c r="E53" s="64">
        <f t="shared" si="12"/>
        <v>0</v>
      </c>
      <c r="F53" s="64">
        <f t="shared" si="13"/>
        <v>0</v>
      </c>
      <c r="G53" s="54"/>
      <c r="H53" s="119">
        <f>G53*6000</f>
        <v>0</v>
      </c>
      <c r="I53" s="54"/>
      <c r="J53" s="54"/>
      <c r="K53" s="54">
        <v>1</v>
      </c>
      <c r="L53" s="119">
        <f>K53*6000</f>
        <v>6000</v>
      </c>
      <c r="M53" s="54"/>
      <c r="N53" s="54"/>
      <c r="O53" s="54">
        <v>2</v>
      </c>
      <c r="P53" s="119">
        <f>O53*6000</f>
        <v>12000</v>
      </c>
      <c r="Q53" s="54"/>
      <c r="R53" s="54"/>
      <c r="S53" s="47">
        <v>1</v>
      </c>
      <c r="T53" s="119">
        <f>S53*6000</f>
        <v>6000</v>
      </c>
      <c r="U53" s="54"/>
      <c r="V53" s="54"/>
      <c r="W53" s="54">
        <v>1</v>
      </c>
      <c r="X53" s="119">
        <f>W53*6000</f>
        <v>6000</v>
      </c>
      <c r="Y53" s="54"/>
      <c r="Z53" s="54"/>
      <c r="AA53" s="54">
        <v>1</v>
      </c>
      <c r="AB53" s="119">
        <f>AA53*6000</f>
        <v>6000</v>
      </c>
      <c r="AC53" s="54"/>
      <c r="AD53" s="180"/>
    </row>
    <row r="54" spans="1:30" s="38" customFormat="1" x14ac:dyDescent="0.2">
      <c r="A54" s="25"/>
      <c r="B54" s="48" t="s">
        <v>68</v>
      </c>
      <c r="C54" s="64">
        <f t="shared" si="10"/>
        <v>1</v>
      </c>
      <c r="D54" s="64">
        <f t="shared" si="11"/>
        <v>8000</v>
      </c>
      <c r="E54" s="64">
        <f t="shared" si="12"/>
        <v>0</v>
      </c>
      <c r="F54" s="64">
        <f t="shared" si="13"/>
        <v>0</v>
      </c>
      <c r="G54" s="54"/>
      <c r="H54" s="119"/>
      <c r="I54" s="54"/>
      <c r="J54" s="54"/>
      <c r="K54" s="54"/>
      <c r="L54" s="119"/>
      <c r="M54" s="54"/>
      <c r="N54" s="54"/>
      <c r="O54" s="54">
        <v>1</v>
      </c>
      <c r="P54" s="119">
        <f>O54*8000</f>
        <v>8000</v>
      </c>
      <c r="Q54" s="54"/>
      <c r="R54" s="54"/>
      <c r="S54" s="54"/>
      <c r="T54" s="119"/>
      <c r="U54" s="54"/>
      <c r="V54" s="54"/>
      <c r="W54" s="54"/>
      <c r="X54" s="119"/>
      <c r="Y54" s="54"/>
      <c r="Z54" s="54"/>
      <c r="AA54" s="54"/>
      <c r="AB54" s="119"/>
      <c r="AC54" s="54"/>
      <c r="AD54" s="180"/>
    </row>
    <row r="55" spans="1:30" s="38" customFormat="1" x14ac:dyDescent="0.2">
      <c r="A55" s="143"/>
      <c r="B55" s="48" t="s">
        <v>69</v>
      </c>
      <c r="C55" s="64">
        <f t="shared" si="10"/>
        <v>0</v>
      </c>
      <c r="D55" s="64">
        <f t="shared" si="11"/>
        <v>0</v>
      </c>
      <c r="E55" s="64">
        <f t="shared" si="12"/>
        <v>0</v>
      </c>
      <c r="F55" s="64">
        <f t="shared" si="13"/>
        <v>0</v>
      </c>
      <c r="G55" s="54"/>
      <c r="H55" s="119"/>
      <c r="I55" s="54"/>
      <c r="J55" s="54"/>
      <c r="K55" s="54"/>
      <c r="L55" s="119"/>
      <c r="M55" s="54"/>
      <c r="N55" s="54"/>
      <c r="O55" s="54"/>
      <c r="P55" s="119">
        <f>O55*5000</f>
        <v>0</v>
      </c>
      <c r="Q55" s="54"/>
      <c r="R55" s="54"/>
      <c r="S55" s="54"/>
      <c r="T55" s="119"/>
      <c r="U55" s="54"/>
      <c r="V55" s="54"/>
      <c r="W55" s="54"/>
      <c r="X55" s="119"/>
      <c r="Y55" s="54"/>
      <c r="Z55" s="54"/>
      <c r="AA55" s="54"/>
      <c r="AB55" s="119"/>
      <c r="AC55" s="54"/>
      <c r="AD55" s="180"/>
    </row>
    <row r="56" spans="1:30" s="38" customFormat="1" x14ac:dyDescent="0.2">
      <c r="A56" s="143"/>
      <c r="B56" s="48" t="s">
        <v>70</v>
      </c>
      <c r="C56" s="64">
        <f t="shared" si="10"/>
        <v>0</v>
      </c>
      <c r="D56" s="64">
        <f t="shared" si="11"/>
        <v>0</v>
      </c>
      <c r="E56" s="64">
        <f t="shared" si="12"/>
        <v>0</v>
      </c>
      <c r="F56" s="64">
        <f t="shared" si="13"/>
        <v>0</v>
      </c>
      <c r="G56" s="54"/>
      <c r="H56" s="119"/>
      <c r="I56" s="54"/>
      <c r="J56" s="54"/>
      <c r="K56" s="54"/>
      <c r="L56" s="119"/>
      <c r="M56" s="54"/>
      <c r="N56" s="54"/>
      <c r="O56" s="54"/>
      <c r="P56" s="119"/>
      <c r="Q56" s="54"/>
      <c r="R56" s="54"/>
      <c r="S56" s="54"/>
      <c r="T56" s="119"/>
      <c r="U56" s="54"/>
      <c r="V56" s="54"/>
      <c r="W56" s="54"/>
      <c r="X56" s="119"/>
      <c r="Y56" s="54"/>
      <c r="Z56" s="54"/>
      <c r="AA56" s="54"/>
      <c r="AB56" s="119"/>
      <c r="AC56" s="54"/>
      <c r="AD56" s="180"/>
    </row>
    <row r="57" spans="1:30" s="38" customFormat="1" x14ac:dyDescent="0.2">
      <c r="A57" s="143"/>
      <c r="B57" s="48" t="s">
        <v>71</v>
      </c>
      <c r="C57" s="64">
        <f t="shared" ref="C57:F58" si="14">G57+K57+O57+S57+W57+AA57</f>
        <v>2</v>
      </c>
      <c r="D57" s="64">
        <f t="shared" si="14"/>
        <v>20000</v>
      </c>
      <c r="E57" s="64">
        <f t="shared" si="14"/>
        <v>0</v>
      </c>
      <c r="F57" s="64">
        <f t="shared" si="14"/>
        <v>0</v>
      </c>
      <c r="G57" s="54">
        <v>1</v>
      </c>
      <c r="H57" s="119">
        <f>G57*10000</f>
        <v>10000</v>
      </c>
      <c r="I57" s="54"/>
      <c r="J57" s="54"/>
      <c r="K57" s="54"/>
      <c r="L57" s="119"/>
      <c r="M57" s="54"/>
      <c r="N57" s="54"/>
      <c r="O57" s="54">
        <v>1</v>
      </c>
      <c r="P57" s="119">
        <f>O57*10000</f>
        <v>10000</v>
      </c>
      <c r="Q57" s="54"/>
      <c r="R57" s="54"/>
      <c r="S57" s="54"/>
      <c r="T57" s="119"/>
      <c r="U57" s="54"/>
      <c r="V57" s="54"/>
      <c r="W57" s="54"/>
      <c r="X57" s="119"/>
      <c r="Y57" s="54"/>
      <c r="Z57" s="54"/>
      <c r="AA57" s="54"/>
      <c r="AB57" s="119"/>
      <c r="AC57" s="54"/>
      <c r="AD57" s="180"/>
    </row>
    <row r="58" spans="1:30" s="38" customFormat="1" x14ac:dyDescent="0.2">
      <c r="A58" s="143"/>
      <c r="B58" s="48" t="s">
        <v>72</v>
      </c>
      <c r="C58" s="64">
        <f t="shared" si="14"/>
        <v>0</v>
      </c>
      <c r="D58" s="64">
        <f t="shared" si="14"/>
        <v>0</v>
      </c>
      <c r="E58" s="64">
        <f t="shared" si="14"/>
        <v>0</v>
      </c>
      <c r="F58" s="64">
        <f t="shared" si="14"/>
        <v>0</v>
      </c>
      <c r="G58" s="54"/>
      <c r="H58" s="119"/>
      <c r="I58" s="54"/>
      <c r="J58" s="54"/>
      <c r="K58" s="54"/>
      <c r="L58" s="119"/>
      <c r="M58" s="54"/>
      <c r="N58" s="54"/>
      <c r="O58" s="54"/>
      <c r="P58" s="119"/>
      <c r="Q58" s="54"/>
      <c r="R58" s="54"/>
      <c r="S58" s="54"/>
      <c r="T58" s="119"/>
      <c r="U58" s="54"/>
      <c r="V58" s="54"/>
      <c r="W58" s="54"/>
      <c r="X58" s="119"/>
      <c r="Y58" s="54"/>
      <c r="Z58" s="54"/>
      <c r="AA58" s="54"/>
      <c r="AB58" s="119"/>
      <c r="AC58" s="54"/>
      <c r="AD58" s="180"/>
    </row>
    <row r="59" spans="1:30" s="38" customFormat="1" ht="13.5" thickBot="1" x14ac:dyDescent="0.25">
      <c r="A59" s="195"/>
      <c r="B59" s="182" t="s">
        <v>73</v>
      </c>
      <c r="C59" s="239">
        <f>G59+K59+O59+S59+W59+AA59</f>
        <v>4</v>
      </c>
      <c r="D59" s="239">
        <f>H59+L59+P59+T59+X59+AB59</f>
        <v>1758000</v>
      </c>
      <c r="E59" s="239">
        <f>I59+M59+Q59+U59+Y59+AC59</f>
        <v>0</v>
      </c>
      <c r="F59" s="239">
        <f>J59+N59+R59+V59+Z59+AD59</f>
        <v>0</v>
      </c>
      <c r="G59" s="200">
        <v>1</v>
      </c>
      <c r="H59" s="184">
        <f>600000+34500</f>
        <v>634500</v>
      </c>
      <c r="I59" s="200"/>
      <c r="J59" s="200"/>
      <c r="K59" s="200"/>
      <c r="L59" s="184"/>
      <c r="M59" s="200"/>
      <c r="N59" s="200"/>
      <c r="O59" s="200">
        <v>1</v>
      </c>
      <c r="P59" s="184">
        <f>420000+34500</f>
        <v>454500</v>
      </c>
      <c r="Q59" s="200"/>
      <c r="R59" s="200"/>
      <c r="S59" s="200"/>
      <c r="T59" s="184"/>
      <c r="U59" s="200"/>
      <c r="V59" s="200"/>
      <c r="W59" s="200">
        <v>1</v>
      </c>
      <c r="X59" s="184">
        <f>180000+34500</f>
        <v>214500</v>
      </c>
      <c r="Y59" s="200"/>
      <c r="Z59" s="200"/>
      <c r="AA59" s="200">
        <v>1</v>
      </c>
      <c r="AB59" s="184">
        <f>420000+34500</f>
        <v>454500</v>
      </c>
      <c r="AC59" s="200"/>
      <c r="AD59" s="186"/>
    </row>
    <row r="60" spans="1:30" ht="13.5" thickBot="1" x14ac:dyDescent="0.25">
      <c r="A60" s="278"/>
      <c r="B60" s="233" t="s">
        <v>156</v>
      </c>
      <c r="C60" s="234">
        <f>SUM(C50:C59)</f>
        <v>46</v>
      </c>
      <c r="D60" s="234">
        <f>SUM(D50:D59)</f>
        <v>2101000</v>
      </c>
      <c r="E60" s="234">
        <f>SUM(E50:E59)</f>
        <v>0</v>
      </c>
      <c r="F60" s="234">
        <f>SUM(F50:F59)</f>
        <v>0</v>
      </c>
      <c r="G60" s="234">
        <f t="shared" ref="G60:AD60" si="15">SUM(G50:G58)</f>
        <v>9</v>
      </c>
      <c r="H60" s="234">
        <f t="shared" si="15"/>
        <v>84000</v>
      </c>
      <c r="I60" s="234">
        <f t="shared" si="15"/>
        <v>0</v>
      </c>
      <c r="J60" s="234">
        <f t="shared" si="15"/>
        <v>0</v>
      </c>
      <c r="K60" s="234">
        <f t="shared" si="15"/>
        <v>5</v>
      </c>
      <c r="L60" s="234">
        <f t="shared" si="15"/>
        <v>38000</v>
      </c>
      <c r="M60" s="234">
        <f t="shared" si="15"/>
        <v>0</v>
      </c>
      <c r="N60" s="234">
        <f t="shared" si="15"/>
        <v>0</v>
      </c>
      <c r="O60" s="234">
        <f t="shared" si="15"/>
        <v>10</v>
      </c>
      <c r="P60" s="234">
        <f t="shared" si="15"/>
        <v>83000</v>
      </c>
      <c r="Q60" s="234">
        <f t="shared" si="15"/>
        <v>0</v>
      </c>
      <c r="R60" s="234">
        <f t="shared" si="15"/>
        <v>0</v>
      </c>
      <c r="S60" s="234">
        <f t="shared" si="15"/>
        <v>5</v>
      </c>
      <c r="T60" s="234">
        <f t="shared" si="15"/>
        <v>38000</v>
      </c>
      <c r="U60" s="234">
        <f t="shared" si="15"/>
        <v>0</v>
      </c>
      <c r="V60" s="234">
        <f t="shared" si="15"/>
        <v>0</v>
      </c>
      <c r="W60" s="234">
        <f t="shared" si="15"/>
        <v>6</v>
      </c>
      <c r="X60" s="234">
        <f t="shared" si="15"/>
        <v>41000</v>
      </c>
      <c r="Y60" s="234">
        <f t="shared" si="15"/>
        <v>0</v>
      </c>
      <c r="Z60" s="234">
        <f t="shared" si="15"/>
        <v>0</v>
      </c>
      <c r="AA60" s="234">
        <f t="shared" si="15"/>
        <v>7</v>
      </c>
      <c r="AB60" s="234">
        <f t="shared" si="15"/>
        <v>59000</v>
      </c>
      <c r="AC60" s="234">
        <f t="shared" si="15"/>
        <v>0</v>
      </c>
      <c r="AD60" s="234">
        <f t="shared" si="15"/>
        <v>0</v>
      </c>
    </row>
    <row r="61" spans="1:30" x14ac:dyDescent="0.2">
      <c r="A61" s="175" t="s">
        <v>7</v>
      </c>
      <c r="B61" s="176" t="s">
        <v>74</v>
      </c>
      <c r="C61" s="177"/>
      <c r="D61" s="178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9"/>
    </row>
    <row r="62" spans="1:30" s="38" customFormat="1" ht="15" x14ac:dyDescent="0.25">
      <c r="A62" s="25"/>
      <c r="B62" s="135" t="s">
        <v>75</v>
      </c>
      <c r="C62" s="64">
        <f t="shared" ref="C62:F62" si="16">G62+K62+O62+S62+W62+AA62</f>
        <v>3</v>
      </c>
      <c r="D62" s="64">
        <f t="shared" si="16"/>
        <v>390000</v>
      </c>
      <c r="E62" s="64">
        <f t="shared" si="16"/>
        <v>0</v>
      </c>
      <c r="F62" s="64">
        <f t="shared" si="16"/>
        <v>0</v>
      </c>
      <c r="G62" s="54"/>
      <c r="H62" s="119"/>
      <c r="I62" s="54"/>
      <c r="J62" s="54"/>
      <c r="K62" s="47">
        <v>1</v>
      </c>
      <c r="L62" s="119">
        <f>K62*130000</f>
        <v>130000</v>
      </c>
      <c r="M62" s="54"/>
      <c r="N62" s="54"/>
      <c r="O62" s="54">
        <v>1</v>
      </c>
      <c r="P62" s="119">
        <f>O62*130000</f>
        <v>130000</v>
      </c>
      <c r="Q62" s="54"/>
      <c r="R62" s="54"/>
      <c r="S62" s="47"/>
      <c r="T62" s="119"/>
      <c r="U62" s="54"/>
      <c r="V62" s="54"/>
      <c r="W62" s="47"/>
      <c r="X62" s="119"/>
      <c r="Y62" s="54"/>
      <c r="Z62" s="54"/>
      <c r="AA62" s="47">
        <v>1</v>
      </c>
      <c r="AB62" s="119">
        <f>AA62*130000</f>
        <v>130000</v>
      </c>
      <c r="AC62" s="54"/>
      <c r="AD62" s="180"/>
    </row>
    <row r="63" spans="1:30" s="38" customFormat="1" x14ac:dyDescent="0.2">
      <c r="A63" s="25"/>
      <c r="B63" s="135" t="s">
        <v>76</v>
      </c>
      <c r="C63" s="64">
        <f t="shared" ref="C63:C72" si="17">G63+K63+O63+S63+W63+AA63</f>
        <v>0</v>
      </c>
      <c r="D63" s="64">
        <f t="shared" ref="D63:D72" si="18">H63+L63+P63+T63+X63+AB63</f>
        <v>0</v>
      </c>
      <c r="E63" s="64">
        <f t="shared" ref="E63:E72" si="19">I63+M63+Q63+U63+Y63+AC63</f>
        <v>0</v>
      </c>
      <c r="F63" s="64">
        <f t="shared" ref="F63:F72" si="20">J63+N63+R63+V63+Z63+AD63</f>
        <v>0</v>
      </c>
      <c r="G63" s="54"/>
      <c r="H63" s="119"/>
      <c r="I63" s="54"/>
      <c r="J63" s="54"/>
      <c r="K63" s="54"/>
      <c r="L63" s="119"/>
      <c r="M63" s="54"/>
      <c r="N63" s="54"/>
      <c r="O63" s="54"/>
      <c r="P63" s="119"/>
      <c r="Q63" s="54"/>
      <c r="R63" s="54"/>
      <c r="S63" s="54"/>
      <c r="T63" s="119"/>
      <c r="U63" s="54"/>
      <c r="V63" s="54"/>
      <c r="W63" s="54"/>
      <c r="X63" s="119"/>
      <c r="Y63" s="54"/>
      <c r="Z63" s="54"/>
      <c r="AA63" s="54"/>
      <c r="AB63" s="119"/>
      <c r="AC63" s="54"/>
      <c r="AD63" s="180"/>
    </row>
    <row r="64" spans="1:30" s="38" customFormat="1" x14ac:dyDescent="0.2">
      <c r="A64" s="25"/>
      <c r="B64" s="135" t="s">
        <v>77</v>
      </c>
      <c r="C64" s="64">
        <f t="shared" si="17"/>
        <v>7</v>
      </c>
      <c r="D64" s="64">
        <f t="shared" si="18"/>
        <v>21000</v>
      </c>
      <c r="E64" s="64">
        <f t="shared" si="19"/>
        <v>0</v>
      </c>
      <c r="F64" s="64">
        <f t="shared" si="20"/>
        <v>0</v>
      </c>
      <c r="G64" s="54">
        <v>5</v>
      </c>
      <c r="H64" s="119">
        <f>G64*3000</f>
        <v>15000</v>
      </c>
      <c r="I64" s="54"/>
      <c r="J64" s="54"/>
      <c r="K64" s="54"/>
      <c r="L64" s="119"/>
      <c r="M64" s="54"/>
      <c r="N64" s="54"/>
      <c r="O64" s="54">
        <v>2</v>
      </c>
      <c r="P64" s="119">
        <f>O64*3000</f>
        <v>6000</v>
      </c>
      <c r="Q64" s="54"/>
      <c r="R64" s="54"/>
      <c r="S64" s="54"/>
      <c r="T64" s="119"/>
      <c r="U64" s="54"/>
      <c r="V64" s="54"/>
      <c r="W64" s="54"/>
      <c r="X64" s="119"/>
      <c r="Y64" s="54"/>
      <c r="Z64" s="54"/>
      <c r="AA64" s="54"/>
      <c r="AB64" s="119"/>
      <c r="AC64" s="54"/>
      <c r="AD64" s="180"/>
    </row>
    <row r="65" spans="1:30" s="38" customFormat="1" x14ac:dyDescent="0.2">
      <c r="A65" s="25"/>
      <c r="B65" s="135" t="s">
        <v>78</v>
      </c>
      <c r="C65" s="64">
        <f>G65+K65+O65+S65+W65+AA65</f>
        <v>3</v>
      </c>
      <c r="D65" s="64">
        <f t="shared" si="18"/>
        <v>7500</v>
      </c>
      <c r="E65" s="64">
        <f t="shared" si="19"/>
        <v>0</v>
      </c>
      <c r="F65" s="64">
        <f t="shared" si="20"/>
        <v>0</v>
      </c>
      <c r="G65" s="54">
        <v>1</v>
      </c>
      <c r="H65" s="119">
        <f>G65*2500</f>
        <v>2500</v>
      </c>
      <c r="I65" s="54"/>
      <c r="J65" s="54"/>
      <c r="K65" s="54"/>
      <c r="L65" s="119"/>
      <c r="M65" s="54"/>
      <c r="N65" s="54"/>
      <c r="O65" s="54"/>
      <c r="P65" s="119"/>
      <c r="Q65" s="54"/>
      <c r="R65" s="54"/>
      <c r="S65" s="54"/>
      <c r="T65" s="119"/>
      <c r="U65" s="54"/>
      <c r="V65" s="54"/>
      <c r="W65" s="54">
        <v>2</v>
      </c>
      <c r="X65" s="119">
        <f>W65*2500</f>
        <v>5000</v>
      </c>
      <c r="Y65" s="54"/>
      <c r="Z65" s="54"/>
      <c r="AA65" s="54"/>
      <c r="AB65" s="119"/>
      <c r="AC65" s="54"/>
      <c r="AD65" s="180"/>
    </row>
    <row r="66" spans="1:30" s="38" customFormat="1" x14ac:dyDescent="0.2">
      <c r="A66" s="25"/>
      <c r="B66" s="135" t="s">
        <v>79</v>
      </c>
      <c r="C66" s="64">
        <f t="shared" si="17"/>
        <v>3</v>
      </c>
      <c r="D66" s="64">
        <f t="shared" si="18"/>
        <v>24000</v>
      </c>
      <c r="E66" s="64">
        <f t="shared" si="19"/>
        <v>0</v>
      </c>
      <c r="F66" s="64">
        <f t="shared" si="20"/>
        <v>0</v>
      </c>
      <c r="G66" s="54"/>
      <c r="H66" s="119"/>
      <c r="I66" s="54"/>
      <c r="J66" s="54"/>
      <c r="K66" s="54"/>
      <c r="L66" s="119"/>
      <c r="M66" s="54"/>
      <c r="N66" s="54"/>
      <c r="O66" s="54">
        <v>2</v>
      </c>
      <c r="P66" s="119">
        <f>O66*8000</f>
        <v>16000</v>
      </c>
      <c r="Q66" s="54"/>
      <c r="R66" s="54"/>
      <c r="S66" s="54"/>
      <c r="T66" s="119"/>
      <c r="U66" s="54"/>
      <c r="V66" s="54"/>
      <c r="W66" s="54"/>
      <c r="X66" s="119"/>
      <c r="Y66" s="54"/>
      <c r="Z66" s="54"/>
      <c r="AA66" s="54">
        <v>1</v>
      </c>
      <c r="AB66" s="119">
        <f>AA66*8000</f>
        <v>8000</v>
      </c>
      <c r="AC66" s="54"/>
      <c r="AD66" s="180"/>
    </row>
    <row r="67" spans="1:30" s="38" customFormat="1" x14ac:dyDescent="0.2">
      <c r="A67" s="25"/>
      <c r="B67" s="135" t="s">
        <v>80</v>
      </c>
      <c r="C67" s="64">
        <f t="shared" si="17"/>
        <v>0</v>
      </c>
      <c r="D67" s="64">
        <f t="shared" si="18"/>
        <v>0</v>
      </c>
      <c r="E67" s="64">
        <f t="shared" si="19"/>
        <v>0</v>
      </c>
      <c r="F67" s="64">
        <f t="shared" si="20"/>
        <v>0</v>
      </c>
      <c r="G67" s="54"/>
      <c r="H67" s="119"/>
      <c r="I67" s="54"/>
      <c r="J67" s="54"/>
      <c r="K67" s="54"/>
      <c r="L67" s="119"/>
      <c r="M67" s="54"/>
      <c r="N67" s="54"/>
      <c r="O67" s="54"/>
      <c r="P67" s="119"/>
      <c r="Q67" s="54"/>
      <c r="R67" s="54"/>
      <c r="S67" s="54"/>
      <c r="T67" s="119"/>
      <c r="U67" s="54"/>
      <c r="V67" s="54"/>
      <c r="W67" s="54"/>
      <c r="X67" s="119"/>
      <c r="Y67" s="54"/>
      <c r="Z67" s="54"/>
      <c r="AA67" s="54"/>
      <c r="AB67" s="119"/>
      <c r="AC67" s="54"/>
      <c r="AD67" s="180"/>
    </row>
    <row r="68" spans="1:30" s="38" customFormat="1" x14ac:dyDescent="0.2">
      <c r="A68" s="25"/>
      <c r="B68" s="135" t="s">
        <v>81</v>
      </c>
      <c r="C68" s="64">
        <f t="shared" si="17"/>
        <v>1</v>
      </c>
      <c r="D68" s="64">
        <f t="shared" si="18"/>
        <v>100000</v>
      </c>
      <c r="E68" s="64">
        <f t="shared" si="19"/>
        <v>0</v>
      </c>
      <c r="F68" s="64">
        <f t="shared" si="20"/>
        <v>0</v>
      </c>
      <c r="G68" s="54"/>
      <c r="H68" s="119"/>
      <c r="I68" s="54"/>
      <c r="J68" s="54"/>
      <c r="K68" s="54"/>
      <c r="L68" s="119"/>
      <c r="M68" s="54"/>
      <c r="N68" s="54"/>
      <c r="O68" s="54"/>
      <c r="P68" s="119"/>
      <c r="Q68" s="54"/>
      <c r="R68" s="54"/>
      <c r="S68" s="54"/>
      <c r="T68" s="119"/>
      <c r="U68" s="54"/>
      <c r="V68" s="54"/>
      <c r="W68" s="54">
        <v>1</v>
      </c>
      <c r="X68" s="119">
        <v>100000</v>
      </c>
      <c r="Y68" s="54"/>
      <c r="Z68" s="54"/>
      <c r="AA68" s="54"/>
      <c r="AB68" s="119"/>
      <c r="AC68" s="54"/>
      <c r="AD68" s="180"/>
    </row>
    <row r="69" spans="1:30" s="38" customFormat="1" x14ac:dyDescent="0.2">
      <c r="A69" s="25"/>
      <c r="B69" s="135" t="s">
        <v>82</v>
      </c>
      <c r="C69" s="64">
        <f t="shared" si="17"/>
        <v>2</v>
      </c>
      <c r="D69" s="64">
        <f t="shared" si="18"/>
        <v>66000</v>
      </c>
      <c r="E69" s="64">
        <f t="shared" si="19"/>
        <v>0</v>
      </c>
      <c r="F69" s="64">
        <f t="shared" si="20"/>
        <v>0</v>
      </c>
      <c r="G69" s="54">
        <v>2</v>
      </c>
      <c r="H69" s="119">
        <v>66000</v>
      </c>
      <c r="I69" s="54"/>
      <c r="J69" s="54"/>
      <c r="K69" s="54"/>
      <c r="L69" s="119"/>
      <c r="M69" s="54"/>
      <c r="N69" s="54"/>
      <c r="O69" s="54"/>
      <c r="P69" s="119"/>
      <c r="Q69" s="54"/>
      <c r="R69" s="54"/>
      <c r="S69" s="54"/>
      <c r="T69" s="119"/>
      <c r="U69" s="54"/>
      <c r="V69" s="54"/>
      <c r="W69" s="54"/>
      <c r="X69" s="119"/>
      <c r="Y69" s="54"/>
      <c r="Z69" s="54"/>
      <c r="AA69" s="54"/>
      <c r="AB69" s="119"/>
      <c r="AC69" s="54"/>
      <c r="AD69" s="180"/>
    </row>
    <row r="70" spans="1:30" s="38" customFormat="1" ht="15" x14ac:dyDescent="0.25">
      <c r="A70" s="25"/>
      <c r="B70" s="135" t="s">
        <v>83</v>
      </c>
      <c r="C70" s="64">
        <f t="shared" si="17"/>
        <v>2</v>
      </c>
      <c r="D70" s="64">
        <f t="shared" si="18"/>
        <v>30000</v>
      </c>
      <c r="E70" s="64">
        <f t="shared" si="19"/>
        <v>0</v>
      </c>
      <c r="F70" s="64">
        <f t="shared" si="20"/>
        <v>0</v>
      </c>
      <c r="G70" s="54"/>
      <c r="H70" s="119"/>
      <c r="I70" s="54"/>
      <c r="J70" s="54"/>
      <c r="K70" s="54"/>
      <c r="L70" s="119"/>
      <c r="M70" s="54"/>
      <c r="N70" s="54"/>
      <c r="O70" s="47">
        <v>1</v>
      </c>
      <c r="P70" s="119">
        <f>O70*15000</f>
        <v>15000</v>
      </c>
      <c r="Q70" s="54"/>
      <c r="R70" s="54"/>
      <c r="S70" s="54"/>
      <c r="T70" s="119"/>
      <c r="U70" s="54"/>
      <c r="V70" s="54"/>
      <c r="W70" s="54"/>
      <c r="X70" s="119"/>
      <c r="Y70" s="54"/>
      <c r="Z70" s="54"/>
      <c r="AA70" s="54">
        <v>1</v>
      </c>
      <c r="AB70" s="119">
        <f>AA70*15000</f>
        <v>15000</v>
      </c>
      <c r="AC70" s="54"/>
      <c r="AD70" s="180"/>
    </row>
    <row r="71" spans="1:30" s="38" customFormat="1" x14ac:dyDescent="0.2">
      <c r="A71" s="25"/>
      <c r="B71" s="135" t="s">
        <v>84</v>
      </c>
      <c r="C71" s="64">
        <f t="shared" si="17"/>
        <v>2</v>
      </c>
      <c r="D71" s="64">
        <f t="shared" si="18"/>
        <v>78500</v>
      </c>
      <c r="E71" s="64">
        <f t="shared" si="19"/>
        <v>0</v>
      </c>
      <c r="F71" s="64">
        <f t="shared" si="20"/>
        <v>0</v>
      </c>
      <c r="G71" s="54">
        <v>2</v>
      </c>
      <c r="H71" s="119">
        <v>78500</v>
      </c>
      <c r="I71" s="54"/>
      <c r="J71" s="54"/>
      <c r="K71" s="54"/>
      <c r="L71" s="119"/>
      <c r="M71" s="54"/>
      <c r="N71" s="54"/>
      <c r="O71" s="54"/>
      <c r="P71" s="119"/>
      <c r="Q71" s="54"/>
      <c r="R71" s="54"/>
      <c r="S71" s="54"/>
      <c r="T71" s="119"/>
      <c r="U71" s="54"/>
      <c r="V71" s="54"/>
      <c r="W71" s="54"/>
      <c r="X71" s="119"/>
      <c r="Y71" s="54"/>
      <c r="Z71" s="54"/>
      <c r="AA71" s="54"/>
      <c r="AB71" s="119"/>
      <c r="AC71" s="54"/>
      <c r="AD71" s="180"/>
    </row>
    <row r="72" spans="1:30" s="38" customFormat="1" ht="13.5" thickBot="1" x14ac:dyDescent="0.25">
      <c r="A72" s="181"/>
      <c r="B72" s="199" t="s">
        <v>85</v>
      </c>
      <c r="C72" s="239">
        <f t="shared" si="17"/>
        <v>4</v>
      </c>
      <c r="D72" s="239">
        <f t="shared" si="18"/>
        <v>120000</v>
      </c>
      <c r="E72" s="239">
        <f t="shared" si="19"/>
        <v>0</v>
      </c>
      <c r="F72" s="239">
        <f t="shared" si="20"/>
        <v>0</v>
      </c>
      <c r="G72" s="200">
        <v>4</v>
      </c>
      <c r="H72" s="184">
        <f>G72*30000</f>
        <v>120000</v>
      </c>
      <c r="I72" s="200"/>
      <c r="J72" s="200"/>
      <c r="K72" s="200"/>
      <c r="L72" s="184"/>
      <c r="M72" s="200"/>
      <c r="N72" s="200"/>
      <c r="O72" s="200"/>
      <c r="P72" s="184"/>
      <c r="Q72" s="200"/>
      <c r="R72" s="200"/>
      <c r="S72" s="200"/>
      <c r="T72" s="184"/>
      <c r="U72" s="200"/>
      <c r="V72" s="200"/>
      <c r="W72" s="200"/>
      <c r="X72" s="184"/>
      <c r="Y72" s="200"/>
      <c r="Z72" s="200"/>
      <c r="AA72" s="200"/>
      <c r="AB72" s="184"/>
      <c r="AC72" s="200"/>
      <c r="AD72" s="186"/>
    </row>
    <row r="73" spans="1:30" ht="13.5" thickBot="1" x14ac:dyDescent="0.25">
      <c r="A73" s="278"/>
      <c r="B73" s="233" t="s">
        <v>157</v>
      </c>
      <c r="C73" s="234">
        <f t="shared" ref="C73:AD73" si="21">SUM(C62:C72)</f>
        <v>27</v>
      </c>
      <c r="D73" s="234">
        <f t="shared" si="21"/>
        <v>837000</v>
      </c>
      <c r="E73" s="234">
        <f t="shared" si="21"/>
        <v>0</v>
      </c>
      <c r="F73" s="234">
        <f t="shared" si="21"/>
        <v>0</v>
      </c>
      <c r="G73" s="234">
        <f t="shared" si="21"/>
        <v>14</v>
      </c>
      <c r="H73" s="234">
        <f t="shared" si="21"/>
        <v>282000</v>
      </c>
      <c r="I73" s="234">
        <f t="shared" si="21"/>
        <v>0</v>
      </c>
      <c r="J73" s="234">
        <f t="shared" si="21"/>
        <v>0</v>
      </c>
      <c r="K73" s="234">
        <f t="shared" si="21"/>
        <v>1</v>
      </c>
      <c r="L73" s="234">
        <f t="shared" si="21"/>
        <v>130000</v>
      </c>
      <c r="M73" s="234">
        <f t="shared" si="21"/>
        <v>0</v>
      </c>
      <c r="N73" s="234">
        <f t="shared" si="21"/>
        <v>0</v>
      </c>
      <c r="O73" s="234">
        <f t="shared" si="21"/>
        <v>6</v>
      </c>
      <c r="P73" s="234">
        <f t="shared" si="21"/>
        <v>167000</v>
      </c>
      <c r="Q73" s="234">
        <f t="shared" si="21"/>
        <v>0</v>
      </c>
      <c r="R73" s="234">
        <f t="shared" si="21"/>
        <v>0</v>
      </c>
      <c r="S73" s="234">
        <f t="shared" si="21"/>
        <v>0</v>
      </c>
      <c r="T73" s="234">
        <f t="shared" si="21"/>
        <v>0</v>
      </c>
      <c r="U73" s="234">
        <f t="shared" si="21"/>
        <v>0</v>
      </c>
      <c r="V73" s="234">
        <f t="shared" si="21"/>
        <v>0</v>
      </c>
      <c r="W73" s="234">
        <f t="shared" si="21"/>
        <v>3</v>
      </c>
      <c r="X73" s="234">
        <f t="shared" si="21"/>
        <v>105000</v>
      </c>
      <c r="Y73" s="234">
        <f t="shared" si="21"/>
        <v>0</v>
      </c>
      <c r="Z73" s="234">
        <f t="shared" si="21"/>
        <v>0</v>
      </c>
      <c r="AA73" s="234">
        <f t="shared" si="21"/>
        <v>3</v>
      </c>
      <c r="AB73" s="234">
        <f t="shared" si="21"/>
        <v>153000</v>
      </c>
      <c r="AC73" s="234">
        <f t="shared" si="21"/>
        <v>0</v>
      </c>
      <c r="AD73" s="234">
        <f t="shared" si="21"/>
        <v>0</v>
      </c>
    </row>
    <row r="74" spans="1:30" x14ac:dyDescent="0.2">
      <c r="A74" s="175" t="s">
        <v>8</v>
      </c>
      <c r="B74" s="194" t="s">
        <v>86</v>
      </c>
      <c r="C74" s="177"/>
      <c r="D74" s="178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9"/>
    </row>
    <row r="75" spans="1:30" s="38" customFormat="1" x14ac:dyDescent="0.2">
      <c r="A75" s="25"/>
      <c r="B75" s="193" t="s">
        <v>87</v>
      </c>
      <c r="C75" s="64">
        <f t="shared" ref="C75:C76" si="22">G75+K75+O75+S75+W75+AA75</f>
        <v>1</v>
      </c>
      <c r="D75" s="64">
        <f t="shared" ref="D75:D76" si="23">H75+L75+P75+T75+X75+AB75</f>
        <v>15000</v>
      </c>
      <c r="E75" s="64">
        <f t="shared" ref="E75:E76" si="24">I75+M75+Q75+U75+Y75+AC75</f>
        <v>0</v>
      </c>
      <c r="F75" s="64">
        <f t="shared" ref="F75:F76" si="25">J75+N75+R75+V75+Z75+AD75</f>
        <v>0</v>
      </c>
      <c r="G75" s="54"/>
      <c r="H75" s="119"/>
      <c r="I75" s="54"/>
      <c r="J75" s="54"/>
      <c r="K75" s="54"/>
      <c r="L75" s="119"/>
      <c r="M75" s="54"/>
      <c r="N75" s="54"/>
      <c r="O75" s="54">
        <v>1</v>
      </c>
      <c r="P75" s="119">
        <v>15000</v>
      </c>
      <c r="Q75" s="54"/>
      <c r="R75" s="54"/>
      <c r="S75" s="54"/>
      <c r="T75" s="119"/>
      <c r="U75" s="54"/>
      <c r="V75" s="54"/>
      <c r="W75" s="54"/>
      <c r="X75" s="119"/>
      <c r="Y75" s="54"/>
      <c r="Z75" s="54"/>
      <c r="AA75" s="54"/>
      <c r="AB75" s="119"/>
      <c r="AC75" s="54"/>
      <c r="AD75" s="180"/>
    </row>
    <row r="76" spans="1:30" s="38" customFormat="1" ht="26.25" thickBot="1" x14ac:dyDescent="0.25">
      <c r="A76" s="181"/>
      <c r="B76" s="203" t="s">
        <v>88</v>
      </c>
      <c r="C76" s="239">
        <f t="shared" si="22"/>
        <v>5</v>
      </c>
      <c r="D76" s="239">
        <f t="shared" si="23"/>
        <v>25400</v>
      </c>
      <c r="E76" s="239">
        <f t="shared" si="24"/>
        <v>0</v>
      </c>
      <c r="F76" s="239">
        <f t="shared" si="25"/>
        <v>0</v>
      </c>
      <c r="G76" s="200"/>
      <c r="H76" s="184"/>
      <c r="I76" s="200"/>
      <c r="J76" s="200"/>
      <c r="K76" s="200">
        <v>2</v>
      </c>
      <c r="L76" s="184">
        <v>2400</v>
      </c>
      <c r="M76" s="200"/>
      <c r="N76" s="200"/>
      <c r="O76" s="200">
        <v>2</v>
      </c>
      <c r="P76" s="184">
        <v>16000</v>
      </c>
      <c r="Q76" s="200"/>
      <c r="R76" s="200"/>
      <c r="S76" s="200"/>
      <c r="T76" s="184"/>
      <c r="U76" s="200"/>
      <c r="V76" s="200"/>
      <c r="W76" s="200"/>
      <c r="X76" s="184"/>
      <c r="Y76" s="200"/>
      <c r="Z76" s="200"/>
      <c r="AA76" s="200">
        <v>1</v>
      </c>
      <c r="AB76" s="184">
        <v>7000</v>
      </c>
      <c r="AC76" s="200"/>
      <c r="AD76" s="186"/>
    </row>
    <row r="77" spans="1:30" ht="13.5" thickBot="1" x14ac:dyDescent="0.25">
      <c r="A77" s="278"/>
      <c r="B77" s="233" t="s">
        <v>158</v>
      </c>
      <c r="C77" s="234">
        <f t="shared" ref="C77:AD77" si="26">SUM(C75:C76)</f>
        <v>6</v>
      </c>
      <c r="D77" s="234">
        <f t="shared" si="26"/>
        <v>40400</v>
      </c>
      <c r="E77" s="234">
        <f t="shared" si="26"/>
        <v>0</v>
      </c>
      <c r="F77" s="234">
        <f t="shared" si="26"/>
        <v>0</v>
      </c>
      <c r="G77" s="234">
        <f t="shared" si="26"/>
        <v>0</v>
      </c>
      <c r="H77" s="234">
        <f t="shared" si="26"/>
        <v>0</v>
      </c>
      <c r="I77" s="234">
        <f t="shared" si="26"/>
        <v>0</v>
      </c>
      <c r="J77" s="234">
        <f t="shared" si="26"/>
        <v>0</v>
      </c>
      <c r="K77" s="234">
        <f t="shared" si="26"/>
        <v>2</v>
      </c>
      <c r="L77" s="234">
        <f t="shared" si="26"/>
        <v>2400</v>
      </c>
      <c r="M77" s="234">
        <f t="shared" si="26"/>
        <v>0</v>
      </c>
      <c r="N77" s="234">
        <f t="shared" si="26"/>
        <v>0</v>
      </c>
      <c r="O77" s="234">
        <f t="shared" si="26"/>
        <v>3</v>
      </c>
      <c r="P77" s="234">
        <f t="shared" si="26"/>
        <v>31000</v>
      </c>
      <c r="Q77" s="234">
        <f t="shared" si="26"/>
        <v>0</v>
      </c>
      <c r="R77" s="234">
        <f t="shared" si="26"/>
        <v>0</v>
      </c>
      <c r="S77" s="234">
        <f t="shared" si="26"/>
        <v>0</v>
      </c>
      <c r="T77" s="234">
        <f t="shared" si="26"/>
        <v>0</v>
      </c>
      <c r="U77" s="234">
        <f t="shared" si="26"/>
        <v>0</v>
      </c>
      <c r="V77" s="234">
        <f t="shared" si="26"/>
        <v>0</v>
      </c>
      <c r="W77" s="234">
        <f t="shared" si="26"/>
        <v>0</v>
      </c>
      <c r="X77" s="234">
        <f t="shared" si="26"/>
        <v>0</v>
      </c>
      <c r="Y77" s="234">
        <f t="shared" si="26"/>
        <v>0</v>
      </c>
      <c r="Z77" s="234">
        <f t="shared" si="26"/>
        <v>0</v>
      </c>
      <c r="AA77" s="234">
        <f t="shared" si="26"/>
        <v>1</v>
      </c>
      <c r="AB77" s="234">
        <f t="shared" si="26"/>
        <v>7000</v>
      </c>
      <c r="AC77" s="234">
        <f t="shared" si="26"/>
        <v>0</v>
      </c>
      <c r="AD77" s="234">
        <f t="shared" si="26"/>
        <v>0</v>
      </c>
    </row>
    <row r="78" spans="1:30" x14ac:dyDescent="0.2">
      <c r="A78" s="175" t="s">
        <v>9</v>
      </c>
      <c r="B78" s="176" t="s">
        <v>90</v>
      </c>
      <c r="C78" s="177"/>
      <c r="D78" s="178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9"/>
    </row>
    <row r="79" spans="1:30" s="38" customFormat="1" ht="15" x14ac:dyDescent="0.25">
      <c r="A79" s="25"/>
      <c r="B79" s="205" t="s">
        <v>91</v>
      </c>
      <c r="C79" s="64">
        <f t="shared" ref="C79:F80" si="27">G79+K79+O79+S79+W79+AA79</f>
        <v>6</v>
      </c>
      <c r="D79" s="64">
        <f t="shared" si="27"/>
        <v>3300000</v>
      </c>
      <c r="E79" s="64">
        <f t="shared" si="27"/>
        <v>0</v>
      </c>
      <c r="F79" s="64">
        <f t="shared" si="27"/>
        <v>0</v>
      </c>
      <c r="G79" s="47">
        <v>1</v>
      </c>
      <c r="H79" s="119">
        <f>G79*550000</f>
        <v>550000</v>
      </c>
      <c r="I79" s="54"/>
      <c r="J79" s="54"/>
      <c r="K79" s="47">
        <v>1</v>
      </c>
      <c r="L79" s="119">
        <f>K79*550000</f>
        <v>550000</v>
      </c>
      <c r="M79" s="54"/>
      <c r="N79" s="54"/>
      <c r="O79" s="47">
        <v>1</v>
      </c>
      <c r="P79" s="119">
        <f>O79*550000</f>
        <v>550000</v>
      </c>
      <c r="Q79" s="54"/>
      <c r="R79" s="54"/>
      <c r="S79" s="47">
        <v>1</v>
      </c>
      <c r="T79" s="119">
        <f>S79*550000</f>
        <v>550000</v>
      </c>
      <c r="U79" s="54"/>
      <c r="V79" s="54"/>
      <c r="W79" s="47">
        <v>1</v>
      </c>
      <c r="X79" s="119">
        <f>W79*550000</f>
        <v>550000</v>
      </c>
      <c r="Y79" s="54"/>
      <c r="Z79" s="54"/>
      <c r="AA79" s="47">
        <v>1</v>
      </c>
      <c r="AB79" s="119">
        <f>AA79*550000</f>
        <v>550000</v>
      </c>
      <c r="AC79" s="54"/>
      <c r="AD79" s="180"/>
    </row>
    <row r="80" spans="1:30" s="38" customFormat="1" ht="15" x14ac:dyDescent="0.25">
      <c r="A80" s="25"/>
      <c r="B80" s="205" t="s">
        <v>92</v>
      </c>
      <c r="C80" s="64">
        <f t="shared" si="27"/>
        <v>6</v>
      </c>
      <c r="D80" s="64">
        <f t="shared" si="27"/>
        <v>2700000</v>
      </c>
      <c r="E80" s="64">
        <f t="shared" si="27"/>
        <v>0</v>
      </c>
      <c r="F80" s="64">
        <f t="shared" si="27"/>
        <v>0</v>
      </c>
      <c r="G80" s="47">
        <v>1</v>
      </c>
      <c r="H80" s="119">
        <f>G80*450000</f>
        <v>450000</v>
      </c>
      <c r="I80" s="54"/>
      <c r="J80" s="54"/>
      <c r="K80" s="47">
        <v>1</v>
      </c>
      <c r="L80" s="119">
        <f>K80*450000</f>
        <v>450000</v>
      </c>
      <c r="M80" s="54"/>
      <c r="N80" s="54"/>
      <c r="O80" s="47">
        <v>1</v>
      </c>
      <c r="P80" s="119">
        <f>O80*450000</f>
        <v>450000</v>
      </c>
      <c r="Q80" s="54"/>
      <c r="R80" s="54"/>
      <c r="S80" s="47">
        <v>1</v>
      </c>
      <c r="T80" s="119">
        <f>S80*450000</f>
        <v>450000</v>
      </c>
      <c r="U80" s="54"/>
      <c r="V80" s="54"/>
      <c r="W80" s="47">
        <v>1</v>
      </c>
      <c r="X80" s="119">
        <f>W80*450000</f>
        <v>450000</v>
      </c>
      <c r="Y80" s="54"/>
      <c r="Z80" s="54"/>
      <c r="AA80" s="47">
        <v>1</v>
      </c>
      <c r="AB80" s="119">
        <f>AA80*450000</f>
        <v>450000</v>
      </c>
      <c r="AC80" s="54"/>
      <c r="AD80" s="180"/>
    </row>
    <row r="81" spans="1:30" s="38" customFormat="1" ht="15" x14ac:dyDescent="0.25">
      <c r="A81" s="25"/>
      <c r="B81" s="205" t="s">
        <v>93</v>
      </c>
      <c r="C81" s="64"/>
      <c r="D81" s="64"/>
      <c r="E81" s="64"/>
      <c r="F81" s="64"/>
      <c r="G81" s="47">
        <v>0</v>
      </c>
      <c r="H81" s="119">
        <f>G81*15000</f>
        <v>0</v>
      </c>
      <c r="I81" s="54"/>
      <c r="J81" s="54"/>
      <c r="K81" s="47"/>
      <c r="L81" s="119">
        <f>K81*15000</f>
        <v>0</v>
      </c>
      <c r="M81" s="54"/>
      <c r="N81" s="54"/>
      <c r="O81" s="47">
        <v>0</v>
      </c>
      <c r="P81" s="119">
        <f>O81*15000</f>
        <v>0</v>
      </c>
      <c r="Q81" s="54"/>
      <c r="R81" s="54"/>
      <c r="S81" s="47">
        <v>0</v>
      </c>
      <c r="T81" s="119">
        <f>S81*15000</f>
        <v>0</v>
      </c>
      <c r="U81" s="54"/>
      <c r="V81" s="54"/>
      <c r="W81" s="47">
        <v>0</v>
      </c>
      <c r="X81" s="119">
        <f>W81*15000</f>
        <v>0</v>
      </c>
      <c r="Y81" s="54"/>
      <c r="Z81" s="54"/>
      <c r="AA81" s="47">
        <v>0</v>
      </c>
      <c r="AB81" s="119">
        <f>AA81*15000</f>
        <v>0</v>
      </c>
      <c r="AC81" s="54"/>
      <c r="AD81" s="180"/>
    </row>
    <row r="82" spans="1:30" s="38" customFormat="1" ht="15" x14ac:dyDescent="0.25">
      <c r="A82" s="25"/>
      <c r="B82" s="205" t="s">
        <v>94</v>
      </c>
      <c r="C82" s="64">
        <f>G82+K82+O82+S82+W82+AA82</f>
        <v>1</v>
      </c>
      <c r="D82" s="64">
        <f>H82+L82+P82+T82+X82+AB82</f>
        <v>130000</v>
      </c>
      <c r="E82" s="64">
        <f>I82+M82+Q82+U82+Y82+AC82</f>
        <v>0</v>
      </c>
      <c r="F82" s="64">
        <f>J82+N82+R82+V82+Z82+AD82</f>
        <v>0</v>
      </c>
      <c r="G82" s="54">
        <v>1</v>
      </c>
      <c r="H82" s="119">
        <f>G82*130000</f>
        <v>130000</v>
      </c>
      <c r="I82" s="54"/>
      <c r="J82" s="54"/>
      <c r="K82" s="47"/>
      <c r="L82" s="119">
        <f>K82*130000</f>
        <v>0</v>
      </c>
      <c r="M82" s="54"/>
      <c r="N82" s="54"/>
      <c r="O82" s="47">
        <v>0</v>
      </c>
      <c r="P82" s="119">
        <f>O82*130000</f>
        <v>0</v>
      </c>
      <c r="Q82" s="54"/>
      <c r="R82" s="54"/>
      <c r="S82" s="54">
        <v>0</v>
      </c>
      <c r="T82" s="119">
        <f>S82*130000</f>
        <v>0</v>
      </c>
      <c r="U82" s="54"/>
      <c r="V82" s="54"/>
      <c r="W82" s="47">
        <v>0</v>
      </c>
      <c r="X82" s="119">
        <f>W82*130000</f>
        <v>0</v>
      </c>
      <c r="Y82" s="54"/>
      <c r="Z82" s="54"/>
      <c r="AA82" s="47">
        <v>0</v>
      </c>
      <c r="AB82" s="119">
        <f>AA82*130000</f>
        <v>0</v>
      </c>
      <c r="AC82" s="54"/>
      <c r="AD82" s="180"/>
    </row>
    <row r="83" spans="1:30" s="38" customFormat="1" ht="15" x14ac:dyDescent="0.25">
      <c r="A83" s="25"/>
      <c r="B83" s="48" t="s">
        <v>95</v>
      </c>
      <c r="C83" s="64">
        <f t="shared" ref="C83:F83" si="28">G83+K83+O83+S83+W83+AA83</f>
        <v>2</v>
      </c>
      <c r="D83" s="64">
        <f t="shared" si="28"/>
        <v>10000</v>
      </c>
      <c r="E83" s="64">
        <f t="shared" si="28"/>
        <v>0</v>
      </c>
      <c r="F83" s="64">
        <f t="shared" si="28"/>
        <v>0</v>
      </c>
      <c r="G83" s="54">
        <v>0</v>
      </c>
      <c r="H83" s="119">
        <f>G83*5000</f>
        <v>0</v>
      </c>
      <c r="I83" s="54"/>
      <c r="J83" s="54"/>
      <c r="K83" s="47"/>
      <c r="L83" s="119">
        <f>K83*5000</f>
        <v>0</v>
      </c>
      <c r="M83" s="54"/>
      <c r="N83" s="54"/>
      <c r="O83" s="54">
        <v>0</v>
      </c>
      <c r="P83" s="119">
        <f>O83*5000</f>
        <v>0</v>
      </c>
      <c r="Q83" s="54"/>
      <c r="R83" s="54"/>
      <c r="S83" s="54">
        <v>0</v>
      </c>
      <c r="T83" s="119">
        <f>S83*5000</f>
        <v>0</v>
      </c>
      <c r="U83" s="54"/>
      <c r="V83" s="54"/>
      <c r="W83" s="47">
        <v>2</v>
      </c>
      <c r="X83" s="119">
        <f>W83*5000</f>
        <v>10000</v>
      </c>
      <c r="Y83" s="54"/>
      <c r="Z83" s="54"/>
      <c r="AA83" s="47">
        <v>0</v>
      </c>
      <c r="AB83" s="119">
        <f>AA83*5000</f>
        <v>0</v>
      </c>
      <c r="AC83" s="54"/>
      <c r="AD83" s="180"/>
    </row>
    <row r="84" spans="1:30" s="141" customFormat="1" ht="15" customHeight="1" x14ac:dyDescent="0.25">
      <c r="A84" s="25"/>
      <c r="B84" s="205" t="s">
        <v>96</v>
      </c>
      <c r="C84" s="64">
        <f t="shared" ref="C84:F89" si="29">G84+K84+O84+S84+W84+AA84</f>
        <v>2</v>
      </c>
      <c r="D84" s="64">
        <f t="shared" si="29"/>
        <v>10000</v>
      </c>
      <c r="E84" s="64">
        <f t="shared" si="29"/>
        <v>0</v>
      </c>
      <c r="F84" s="64">
        <f t="shared" si="29"/>
        <v>0</v>
      </c>
      <c r="G84" s="47">
        <v>0</v>
      </c>
      <c r="H84" s="119">
        <f>G84*5000</f>
        <v>0</v>
      </c>
      <c r="I84" s="54"/>
      <c r="J84" s="54"/>
      <c r="K84" s="47"/>
      <c r="L84" s="119">
        <f>K84*5000</f>
        <v>0</v>
      </c>
      <c r="M84" s="54"/>
      <c r="N84" s="54"/>
      <c r="O84" s="47">
        <v>2</v>
      </c>
      <c r="P84" s="119">
        <f>O84*5000</f>
        <v>10000</v>
      </c>
      <c r="Q84" s="54"/>
      <c r="R84" s="54"/>
      <c r="S84" s="47">
        <v>0</v>
      </c>
      <c r="T84" s="119">
        <f>S84*5000</f>
        <v>0</v>
      </c>
      <c r="U84" s="54"/>
      <c r="V84" s="54"/>
      <c r="W84" s="47">
        <v>0</v>
      </c>
      <c r="X84" s="119">
        <f>W84*5000</f>
        <v>0</v>
      </c>
      <c r="Y84" s="54"/>
      <c r="Z84" s="54"/>
      <c r="AA84" s="47">
        <v>0</v>
      </c>
      <c r="AB84" s="119">
        <f>AA84*5000</f>
        <v>0</v>
      </c>
      <c r="AC84" s="54"/>
      <c r="AD84" s="180"/>
    </row>
    <row r="85" spans="1:30" s="141" customFormat="1" ht="15" customHeight="1" x14ac:dyDescent="0.25">
      <c r="A85" s="25"/>
      <c r="B85" s="205" t="s">
        <v>97</v>
      </c>
      <c r="C85" s="64">
        <f t="shared" si="29"/>
        <v>15</v>
      </c>
      <c r="D85" s="64">
        <f t="shared" si="29"/>
        <v>105000</v>
      </c>
      <c r="E85" s="64">
        <f t="shared" si="29"/>
        <v>0</v>
      </c>
      <c r="F85" s="64">
        <f t="shared" si="29"/>
        <v>0</v>
      </c>
      <c r="G85" s="47">
        <v>2</v>
      </c>
      <c r="H85" s="119">
        <f>G85*7000</f>
        <v>14000</v>
      </c>
      <c r="I85" s="54"/>
      <c r="J85" s="54"/>
      <c r="K85" s="47">
        <v>1</v>
      </c>
      <c r="L85" s="119">
        <f>K85*7000</f>
        <v>7000</v>
      </c>
      <c r="M85" s="54"/>
      <c r="N85" s="54"/>
      <c r="O85" s="47">
        <v>8</v>
      </c>
      <c r="P85" s="119">
        <f>O85*7000</f>
        <v>56000</v>
      </c>
      <c r="Q85" s="54"/>
      <c r="R85" s="54"/>
      <c r="S85" s="47">
        <v>2</v>
      </c>
      <c r="T85" s="119">
        <f>S85*7000</f>
        <v>14000</v>
      </c>
      <c r="U85" s="54"/>
      <c r="V85" s="54"/>
      <c r="W85" s="47">
        <v>0</v>
      </c>
      <c r="X85" s="119">
        <f>W85*7000</f>
        <v>0</v>
      </c>
      <c r="Y85" s="54"/>
      <c r="Z85" s="54"/>
      <c r="AA85" s="47">
        <v>2</v>
      </c>
      <c r="AB85" s="119">
        <f>AA85*7000</f>
        <v>14000</v>
      </c>
      <c r="AC85" s="54"/>
      <c r="AD85" s="180"/>
    </row>
    <row r="86" spans="1:30" s="141" customFormat="1" ht="15" customHeight="1" x14ac:dyDescent="0.25">
      <c r="A86" s="25"/>
      <c r="B86" s="205" t="s">
        <v>98</v>
      </c>
      <c r="C86" s="64">
        <f t="shared" si="29"/>
        <v>15</v>
      </c>
      <c r="D86" s="64">
        <f t="shared" si="29"/>
        <v>120000</v>
      </c>
      <c r="E86" s="64">
        <f t="shared" si="29"/>
        <v>0</v>
      </c>
      <c r="F86" s="64">
        <f t="shared" si="29"/>
        <v>0</v>
      </c>
      <c r="G86" s="47">
        <v>2</v>
      </c>
      <c r="H86" s="119">
        <f>G86*8000</f>
        <v>16000</v>
      </c>
      <c r="I86" s="54"/>
      <c r="J86" s="54"/>
      <c r="K86" s="47"/>
      <c r="L86" s="119">
        <f>K86*8000</f>
        <v>0</v>
      </c>
      <c r="M86" s="54"/>
      <c r="N86" s="54"/>
      <c r="O86" s="47">
        <v>5</v>
      </c>
      <c r="P86" s="119">
        <f>O86*8000</f>
        <v>40000</v>
      </c>
      <c r="Q86" s="54"/>
      <c r="R86" s="54"/>
      <c r="S86" s="47">
        <v>2</v>
      </c>
      <c r="T86" s="119">
        <f>S86*8000</f>
        <v>16000</v>
      </c>
      <c r="U86" s="54"/>
      <c r="V86" s="54"/>
      <c r="W86" s="47">
        <v>4</v>
      </c>
      <c r="X86" s="119">
        <f>W86*8000</f>
        <v>32000</v>
      </c>
      <c r="Y86" s="54"/>
      <c r="Z86" s="54"/>
      <c r="AA86" s="47">
        <v>2</v>
      </c>
      <c r="AB86" s="119">
        <f>AA86*8000</f>
        <v>16000</v>
      </c>
      <c r="AC86" s="54"/>
      <c r="AD86" s="180"/>
    </row>
    <row r="87" spans="1:30" s="38" customFormat="1" ht="15" x14ac:dyDescent="0.25">
      <c r="A87" s="25"/>
      <c r="B87" s="205" t="s">
        <v>99</v>
      </c>
      <c r="C87" s="64">
        <f t="shared" si="29"/>
        <v>9</v>
      </c>
      <c r="D87" s="64">
        <f t="shared" si="29"/>
        <v>72000</v>
      </c>
      <c r="E87" s="64">
        <f t="shared" si="29"/>
        <v>0</v>
      </c>
      <c r="F87" s="64">
        <f t="shared" si="29"/>
        <v>0</v>
      </c>
      <c r="G87" s="47">
        <v>2</v>
      </c>
      <c r="H87" s="119">
        <f>G87*8000</f>
        <v>16000</v>
      </c>
      <c r="I87" s="54"/>
      <c r="J87" s="54"/>
      <c r="K87" s="47"/>
      <c r="L87" s="119">
        <f>K87*8000</f>
        <v>0</v>
      </c>
      <c r="M87" s="54"/>
      <c r="N87" s="54"/>
      <c r="O87" s="47">
        <v>5</v>
      </c>
      <c r="P87" s="119">
        <f>O87*8000</f>
        <v>40000</v>
      </c>
      <c r="Q87" s="54"/>
      <c r="R87" s="54"/>
      <c r="S87" s="47">
        <v>0</v>
      </c>
      <c r="T87" s="119">
        <f>S87*8000</f>
        <v>0</v>
      </c>
      <c r="U87" s="54"/>
      <c r="V87" s="54"/>
      <c r="W87" s="47">
        <v>0</v>
      </c>
      <c r="X87" s="119">
        <f>W87*8000</f>
        <v>0</v>
      </c>
      <c r="Y87" s="54"/>
      <c r="Z87" s="54"/>
      <c r="AA87" s="47">
        <v>2</v>
      </c>
      <c r="AB87" s="119">
        <f>AA87*8000</f>
        <v>16000</v>
      </c>
      <c r="AC87" s="54"/>
      <c r="AD87" s="180"/>
    </row>
    <row r="88" spans="1:30" s="141" customFormat="1" ht="15" customHeight="1" x14ac:dyDescent="0.25">
      <c r="A88" s="25"/>
      <c r="B88" s="205" t="s">
        <v>100</v>
      </c>
      <c r="C88" s="64">
        <f t="shared" si="29"/>
        <v>0</v>
      </c>
      <c r="D88" s="64">
        <f t="shared" si="29"/>
        <v>0</v>
      </c>
      <c r="E88" s="64">
        <f t="shared" si="29"/>
        <v>0</v>
      </c>
      <c r="F88" s="64">
        <f t="shared" si="29"/>
        <v>0</v>
      </c>
      <c r="G88" s="47">
        <v>0</v>
      </c>
      <c r="H88" s="119">
        <f>G88*25000</f>
        <v>0</v>
      </c>
      <c r="I88" s="54"/>
      <c r="J88" s="54"/>
      <c r="K88" s="47"/>
      <c r="L88" s="119">
        <f>K88*25000</f>
        <v>0</v>
      </c>
      <c r="M88" s="54"/>
      <c r="N88" s="54"/>
      <c r="O88" s="54">
        <v>0</v>
      </c>
      <c r="P88" s="119">
        <f>O88*25000</f>
        <v>0</v>
      </c>
      <c r="Q88" s="54"/>
      <c r="R88" s="54"/>
      <c r="S88" s="47">
        <v>0</v>
      </c>
      <c r="T88" s="119">
        <f>S88*25000</f>
        <v>0</v>
      </c>
      <c r="U88" s="54"/>
      <c r="V88" s="54"/>
      <c r="W88" s="47">
        <v>0</v>
      </c>
      <c r="X88" s="119">
        <f>W88*25000</f>
        <v>0</v>
      </c>
      <c r="Y88" s="54"/>
      <c r="Z88" s="54"/>
      <c r="AA88" s="47">
        <v>0</v>
      </c>
      <c r="AB88" s="119">
        <f>AA88*25000</f>
        <v>0</v>
      </c>
      <c r="AC88" s="54"/>
      <c r="AD88" s="180"/>
    </row>
    <row r="89" spans="1:30" s="141" customFormat="1" ht="15" customHeight="1" x14ac:dyDescent="0.2">
      <c r="A89" s="25"/>
      <c r="B89" s="205" t="s">
        <v>101</v>
      </c>
      <c r="C89" s="64">
        <f t="shared" si="29"/>
        <v>37</v>
      </c>
      <c r="D89" s="64">
        <f t="shared" si="29"/>
        <v>55500</v>
      </c>
      <c r="E89" s="64">
        <f t="shared" si="29"/>
        <v>0</v>
      </c>
      <c r="F89" s="64">
        <f t="shared" si="29"/>
        <v>0</v>
      </c>
      <c r="G89" s="54">
        <v>5</v>
      </c>
      <c r="H89" s="119">
        <f>G89*1500</f>
        <v>7500</v>
      </c>
      <c r="I89" s="54"/>
      <c r="J89" s="54"/>
      <c r="K89" s="54">
        <v>6</v>
      </c>
      <c r="L89" s="119">
        <f>K89*1500</f>
        <v>9000</v>
      </c>
      <c r="M89" s="54"/>
      <c r="N89" s="54"/>
      <c r="O89" s="54">
        <v>8</v>
      </c>
      <c r="P89" s="119">
        <f>O89*1500</f>
        <v>12000</v>
      </c>
      <c r="Q89" s="54"/>
      <c r="R89" s="54"/>
      <c r="S89" s="54">
        <v>5</v>
      </c>
      <c r="T89" s="119">
        <f>S89*1500</f>
        <v>7500</v>
      </c>
      <c r="U89" s="54"/>
      <c r="V89" s="54"/>
      <c r="W89" s="54">
        <v>8</v>
      </c>
      <c r="X89" s="119">
        <f>W89*1500</f>
        <v>12000</v>
      </c>
      <c r="Y89" s="54"/>
      <c r="Z89" s="54"/>
      <c r="AA89" s="54">
        <v>5</v>
      </c>
      <c r="AB89" s="119">
        <f>AA89*1500</f>
        <v>7500</v>
      </c>
      <c r="AC89" s="54"/>
      <c r="AD89" s="180"/>
    </row>
    <row r="90" spans="1:30" s="38" customFormat="1" ht="15" x14ac:dyDescent="0.25">
      <c r="A90" s="25"/>
      <c r="B90" s="205" t="s">
        <v>102</v>
      </c>
      <c r="C90" s="64">
        <f t="shared" ref="C90:C91" si="30">G90+K90+O90+S90+W90+AA90</f>
        <v>31</v>
      </c>
      <c r="D90" s="64">
        <f t="shared" ref="D90:D91" si="31">H90+L90+P90+T90+X90+AB90</f>
        <v>1085000</v>
      </c>
      <c r="E90" s="64">
        <f t="shared" ref="E90:E91" si="32">I90+M90+Q90+U90+Y90+AC90</f>
        <v>0</v>
      </c>
      <c r="F90" s="64">
        <f t="shared" ref="F90:F91" si="33">J90+N90+R90+V90+Z90+AD90</f>
        <v>0</v>
      </c>
      <c r="G90" s="47">
        <v>2</v>
      </c>
      <c r="H90" s="119">
        <f>G90*35000</f>
        <v>70000</v>
      </c>
      <c r="I90" s="54"/>
      <c r="J90" s="54"/>
      <c r="K90" s="47">
        <v>6</v>
      </c>
      <c r="L90" s="119">
        <f>K90*35000</f>
        <v>210000</v>
      </c>
      <c r="M90" s="54"/>
      <c r="N90" s="54"/>
      <c r="O90" s="47">
        <v>8</v>
      </c>
      <c r="P90" s="119">
        <f>O90*35000</f>
        <v>280000</v>
      </c>
      <c r="Q90" s="54"/>
      <c r="R90" s="54"/>
      <c r="S90" s="47">
        <v>6</v>
      </c>
      <c r="T90" s="119">
        <f>S90*35000</f>
        <v>210000</v>
      </c>
      <c r="U90" s="54"/>
      <c r="V90" s="54"/>
      <c r="W90" s="47">
        <v>4</v>
      </c>
      <c r="X90" s="119">
        <f>W90*35000</f>
        <v>140000</v>
      </c>
      <c r="Y90" s="54"/>
      <c r="Z90" s="54"/>
      <c r="AA90" s="47">
        <v>5</v>
      </c>
      <c r="AB90" s="119">
        <f>AA90*35000</f>
        <v>175000</v>
      </c>
      <c r="AC90" s="54"/>
      <c r="AD90" s="180"/>
    </row>
    <row r="91" spans="1:30" s="141" customFormat="1" ht="15" customHeight="1" thickBot="1" x14ac:dyDescent="0.25">
      <c r="A91" s="181"/>
      <c r="B91" s="182" t="s">
        <v>103</v>
      </c>
      <c r="C91" s="239">
        <f t="shared" si="30"/>
        <v>0</v>
      </c>
      <c r="D91" s="239">
        <f t="shared" si="31"/>
        <v>0</v>
      </c>
      <c r="E91" s="239">
        <f t="shared" si="32"/>
        <v>0</v>
      </c>
      <c r="F91" s="239">
        <f t="shared" si="33"/>
        <v>0</v>
      </c>
      <c r="G91" s="200"/>
      <c r="H91" s="184"/>
      <c r="I91" s="200"/>
      <c r="J91" s="200"/>
      <c r="K91" s="200"/>
      <c r="L91" s="184"/>
      <c r="M91" s="200"/>
      <c r="N91" s="200"/>
      <c r="O91" s="200"/>
      <c r="P91" s="184"/>
      <c r="Q91" s="200"/>
      <c r="R91" s="200"/>
      <c r="S91" s="200"/>
      <c r="T91" s="184"/>
      <c r="U91" s="200"/>
      <c r="V91" s="200"/>
      <c r="W91" s="200"/>
      <c r="X91" s="184"/>
      <c r="Y91" s="200"/>
      <c r="Z91" s="200"/>
      <c r="AA91" s="200"/>
      <c r="AB91" s="184"/>
      <c r="AC91" s="200"/>
      <c r="AD91" s="186"/>
    </row>
    <row r="92" spans="1:30" ht="13.5" thickBot="1" x14ac:dyDescent="0.25">
      <c r="A92" s="278"/>
      <c r="B92" s="233" t="s">
        <v>159</v>
      </c>
      <c r="C92" s="234">
        <f t="shared" ref="C92:AD92" si="34">SUM(C79:C91)</f>
        <v>124</v>
      </c>
      <c r="D92" s="234">
        <f t="shared" si="34"/>
        <v>7587500</v>
      </c>
      <c r="E92" s="234">
        <f t="shared" si="34"/>
        <v>0</v>
      </c>
      <c r="F92" s="234">
        <f t="shared" si="34"/>
        <v>0</v>
      </c>
      <c r="G92" s="234">
        <f t="shared" si="34"/>
        <v>16</v>
      </c>
      <c r="H92" s="234">
        <f t="shared" si="34"/>
        <v>1253500</v>
      </c>
      <c r="I92" s="234">
        <f t="shared" si="34"/>
        <v>0</v>
      </c>
      <c r="J92" s="234">
        <f t="shared" si="34"/>
        <v>0</v>
      </c>
      <c r="K92" s="234">
        <f t="shared" si="34"/>
        <v>15</v>
      </c>
      <c r="L92" s="234">
        <f t="shared" si="34"/>
        <v>1226000</v>
      </c>
      <c r="M92" s="234">
        <f t="shared" si="34"/>
        <v>0</v>
      </c>
      <c r="N92" s="234">
        <f t="shared" si="34"/>
        <v>0</v>
      </c>
      <c r="O92" s="234">
        <f t="shared" si="34"/>
        <v>38</v>
      </c>
      <c r="P92" s="234">
        <f t="shared" si="34"/>
        <v>1438000</v>
      </c>
      <c r="Q92" s="234">
        <f t="shared" si="34"/>
        <v>0</v>
      </c>
      <c r="R92" s="234">
        <f t="shared" si="34"/>
        <v>0</v>
      </c>
      <c r="S92" s="234">
        <f t="shared" si="34"/>
        <v>17</v>
      </c>
      <c r="T92" s="234">
        <f t="shared" si="34"/>
        <v>1247500</v>
      </c>
      <c r="U92" s="234">
        <f t="shared" si="34"/>
        <v>0</v>
      </c>
      <c r="V92" s="234">
        <f t="shared" si="34"/>
        <v>0</v>
      </c>
      <c r="W92" s="234">
        <f t="shared" si="34"/>
        <v>20</v>
      </c>
      <c r="X92" s="234">
        <f t="shared" si="34"/>
        <v>1194000</v>
      </c>
      <c r="Y92" s="234">
        <f t="shared" si="34"/>
        <v>0</v>
      </c>
      <c r="Z92" s="234">
        <f t="shared" si="34"/>
        <v>0</v>
      </c>
      <c r="AA92" s="234">
        <f t="shared" si="34"/>
        <v>18</v>
      </c>
      <c r="AB92" s="234">
        <f t="shared" si="34"/>
        <v>1228500</v>
      </c>
      <c r="AC92" s="234">
        <f t="shared" si="34"/>
        <v>0</v>
      </c>
      <c r="AD92" s="234">
        <f t="shared" si="34"/>
        <v>0</v>
      </c>
    </row>
    <row r="93" spans="1:30" x14ac:dyDescent="0.2">
      <c r="A93" s="210" t="s">
        <v>10</v>
      </c>
      <c r="B93" s="211" t="s">
        <v>104</v>
      </c>
      <c r="C93" s="177"/>
      <c r="D93" s="178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9"/>
    </row>
    <row r="94" spans="1:30" s="141" customFormat="1" ht="15" x14ac:dyDescent="0.25">
      <c r="A94" s="143"/>
      <c r="B94" s="205" t="s">
        <v>105</v>
      </c>
      <c r="C94" s="64">
        <f t="shared" ref="C94:F94" si="35">G94+K94+O94+S94+W94+AA94</f>
        <v>0</v>
      </c>
      <c r="D94" s="64">
        <f t="shared" si="35"/>
        <v>0</v>
      </c>
      <c r="E94" s="64">
        <f t="shared" si="35"/>
        <v>0</v>
      </c>
      <c r="F94" s="64">
        <f t="shared" si="35"/>
        <v>0</v>
      </c>
      <c r="G94" s="47"/>
      <c r="H94" s="119"/>
      <c r="I94" s="54"/>
      <c r="J94" s="54"/>
      <c r="K94" s="47"/>
      <c r="L94" s="119"/>
      <c r="M94" s="54"/>
      <c r="N94" s="54"/>
      <c r="O94" s="47"/>
      <c r="P94" s="47"/>
      <c r="Q94" s="54"/>
      <c r="R94" s="54"/>
      <c r="S94" s="47"/>
      <c r="T94" s="119"/>
      <c r="U94" s="54"/>
      <c r="V94" s="54"/>
      <c r="W94" s="47"/>
      <c r="X94" s="119"/>
      <c r="Y94" s="54"/>
      <c r="Z94" s="54"/>
      <c r="AA94" s="47"/>
      <c r="AB94" s="119"/>
      <c r="AC94" s="54"/>
      <c r="AD94" s="180"/>
    </row>
    <row r="95" spans="1:30" s="38" customFormat="1" x14ac:dyDescent="0.2">
      <c r="A95" s="25"/>
      <c r="B95" s="48" t="s">
        <v>106</v>
      </c>
      <c r="C95" s="64">
        <f t="shared" ref="C95:C104" si="36">G95+K95+O95+S95+W95+AA95</f>
        <v>0</v>
      </c>
      <c r="D95" s="64">
        <f t="shared" ref="D95:D132" si="37">H95+L95+P95+T95+X95+AB95</f>
        <v>0</v>
      </c>
      <c r="E95" s="64">
        <f t="shared" ref="E95:E132" si="38">I95+M95+Q95+U95+Y95+AC95</f>
        <v>0</v>
      </c>
      <c r="F95" s="64">
        <f t="shared" ref="F95:F132" si="39">J95+N95+R95+V95+Z95+AD95</f>
        <v>0</v>
      </c>
      <c r="G95" s="54"/>
      <c r="H95" s="119"/>
      <c r="I95" s="54"/>
      <c r="J95" s="54"/>
      <c r="K95" s="54"/>
      <c r="L95" s="119"/>
      <c r="M95" s="54"/>
      <c r="N95" s="54"/>
      <c r="O95" s="54"/>
      <c r="P95" s="119"/>
      <c r="Q95" s="54"/>
      <c r="R95" s="54"/>
      <c r="S95" s="54"/>
      <c r="T95" s="119"/>
      <c r="U95" s="54"/>
      <c r="V95" s="54"/>
      <c r="W95" s="54"/>
      <c r="X95" s="119"/>
      <c r="Y95" s="54"/>
      <c r="Z95" s="54"/>
      <c r="AA95" s="54"/>
      <c r="AB95" s="119"/>
      <c r="AC95" s="54"/>
      <c r="AD95" s="180"/>
    </row>
    <row r="96" spans="1:30" s="38" customFormat="1" x14ac:dyDescent="0.2">
      <c r="A96" s="25"/>
      <c r="B96" s="48" t="s">
        <v>107</v>
      </c>
      <c r="C96" s="64">
        <f t="shared" si="36"/>
        <v>0</v>
      </c>
      <c r="D96" s="64">
        <f t="shared" si="37"/>
        <v>0</v>
      </c>
      <c r="E96" s="64">
        <f t="shared" si="38"/>
        <v>0</v>
      </c>
      <c r="F96" s="64">
        <f t="shared" si="39"/>
        <v>0</v>
      </c>
      <c r="G96" s="54"/>
      <c r="H96" s="119"/>
      <c r="I96" s="54"/>
      <c r="J96" s="54"/>
      <c r="K96" s="54"/>
      <c r="L96" s="119"/>
      <c r="M96" s="54"/>
      <c r="N96" s="54"/>
      <c r="O96" s="54"/>
      <c r="P96" s="119"/>
      <c r="Q96" s="54"/>
      <c r="R96" s="54"/>
      <c r="S96" s="54"/>
      <c r="T96" s="119"/>
      <c r="U96" s="54"/>
      <c r="V96" s="54"/>
      <c r="W96" s="54"/>
      <c r="X96" s="119"/>
      <c r="Y96" s="54"/>
      <c r="Z96" s="54"/>
      <c r="AA96" s="54"/>
      <c r="AB96" s="119"/>
      <c r="AC96" s="54"/>
      <c r="AD96" s="180"/>
    </row>
    <row r="97" spans="1:30" s="38" customFormat="1" ht="15" x14ac:dyDescent="0.25">
      <c r="A97" s="25"/>
      <c r="B97" s="208" t="s">
        <v>109</v>
      </c>
      <c r="C97" s="64">
        <f t="shared" si="36"/>
        <v>0</v>
      </c>
      <c r="D97" s="64">
        <f t="shared" si="37"/>
        <v>0</v>
      </c>
      <c r="E97" s="64">
        <f t="shared" si="38"/>
        <v>0</v>
      </c>
      <c r="F97" s="64">
        <f t="shared" si="39"/>
        <v>0</v>
      </c>
      <c r="G97" s="47"/>
      <c r="H97" s="119"/>
      <c r="I97" s="54"/>
      <c r="J97" s="54"/>
      <c r="K97" s="47"/>
      <c r="L97" s="119"/>
      <c r="M97" s="54"/>
      <c r="N97" s="54"/>
      <c r="O97" s="47"/>
      <c r="P97" s="47"/>
      <c r="Q97" s="54"/>
      <c r="R97" s="54"/>
      <c r="S97" s="47"/>
      <c r="T97" s="119"/>
      <c r="U97" s="54"/>
      <c r="V97" s="54"/>
      <c r="W97" s="47"/>
      <c r="X97" s="119"/>
      <c r="Y97" s="54"/>
      <c r="Z97" s="54"/>
      <c r="AA97" s="47"/>
      <c r="AB97" s="119"/>
      <c r="AC97" s="54"/>
      <c r="AD97" s="180"/>
    </row>
    <row r="98" spans="1:30" s="38" customFormat="1" ht="15" x14ac:dyDescent="0.25">
      <c r="A98" s="25"/>
      <c r="B98" s="208" t="s">
        <v>111</v>
      </c>
      <c r="C98" s="64">
        <f t="shared" si="36"/>
        <v>0</v>
      </c>
      <c r="D98" s="64">
        <f t="shared" si="37"/>
        <v>0</v>
      </c>
      <c r="E98" s="64">
        <f t="shared" si="38"/>
        <v>0</v>
      </c>
      <c r="F98" s="64">
        <f t="shared" si="39"/>
        <v>0</v>
      </c>
      <c r="G98" s="54"/>
      <c r="H98" s="119"/>
      <c r="I98" s="54"/>
      <c r="J98" s="54"/>
      <c r="K98" s="47"/>
      <c r="L98" s="119"/>
      <c r="M98" s="54"/>
      <c r="N98" s="54"/>
      <c r="O98" s="54"/>
      <c r="P98" s="119"/>
      <c r="Q98" s="54"/>
      <c r="R98" s="54"/>
      <c r="S98" s="47"/>
      <c r="T98" s="119"/>
      <c r="U98" s="54"/>
      <c r="V98" s="54"/>
      <c r="W98" s="54"/>
      <c r="X98" s="119"/>
      <c r="Y98" s="54"/>
      <c r="Z98" s="54"/>
      <c r="AA98" s="47"/>
      <c r="AB98" s="119"/>
      <c r="AC98" s="54"/>
      <c r="AD98" s="180"/>
    </row>
    <row r="99" spans="1:30" s="38" customFormat="1" x14ac:dyDescent="0.2">
      <c r="A99" s="25"/>
      <c r="B99" s="208" t="s">
        <v>113</v>
      </c>
      <c r="C99" s="64">
        <f t="shared" si="36"/>
        <v>0</v>
      </c>
      <c r="D99" s="64">
        <f t="shared" si="37"/>
        <v>0</v>
      </c>
      <c r="E99" s="64">
        <f t="shared" si="38"/>
        <v>0</v>
      </c>
      <c r="F99" s="64">
        <f t="shared" si="39"/>
        <v>0</v>
      </c>
      <c r="G99" s="54"/>
      <c r="H99" s="119"/>
      <c r="I99" s="54"/>
      <c r="J99" s="54"/>
      <c r="K99" s="54"/>
      <c r="L99" s="119"/>
      <c r="M99" s="54"/>
      <c r="N99" s="54"/>
      <c r="O99" s="54"/>
      <c r="P99" s="119"/>
      <c r="Q99" s="54"/>
      <c r="R99" s="54"/>
      <c r="S99" s="54"/>
      <c r="T99" s="119"/>
      <c r="U99" s="54"/>
      <c r="V99" s="54"/>
      <c r="W99" s="54"/>
      <c r="X99" s="119"/>
      <c r="Y99" s="54"/>
      <c r="Z99" s="54"/>
      <c r="AA99" s="54"/>
      <c r="AB99" s="119"/>
      <c r="AC99" s="54"/>
      <c r="AD99" s="180"/>
    </row>
    <row r="100" spans="1:30" s="38" customFormat="1" ht="15" x14ac:dyDescent="0.25">
      <c r="A100" s="25"/>
      <c r="B100" s="208" t="s">
        <v>115</v>
      </c>
      <c r="C100" s="64">
        <f t="shared" si="36"/>
        <v>0</v>
      </c>
      <c r="D100" s="64">
        <f t="shared" si="37"/>
        <v>0</v>
      </c>
      <c r="E100" s="64">
        <f t="shared" si="38"/>
        <v>0</v>
      </c>
      <c r="F100" s="64">
        <f t="shared" si="39"/>
        <v>0</v>
      </c>
      <c r="G100" s="54"/>
      <c r="H100" s="119"/>
      <c r="I100" s="54"/>
      <c r="J100" s="54"/>
      <c r="K100" s="47"/>
      <c r="L100" s="119"/>
      <c r="M100" s="54"/>
      <c r="N100" s="54"/>
      <c r="O100" s="54"/>
      <c r="P100" s="119"/>
      <c r="Q100" s="54"/>
      <c r="R100" s="54"/>
      <c r="S100" s="54"/>
      <c r="T100" s="119"/>
      <c r="U100" s="54"/>
      <c r="V100" s="54"/>
      <c r="W100" s="54"/>
      <c r="X100" s="119"/>
      <c r="Y100" s="54"/>
      <c r="Z100" s="54"/>
      <c r="AA100" s="54"/>
      <c r="AB100" s="119"/>
      <c r="AC100" s="54"/>
      <c r="AD100" s="180"/>
    </row>
    <row r="101" spans="1:30" s="38" customFormat="1" ht="15" x14ac:dyDescent="0.25">
      <c r="A101" s="25"/>
      <c r="B101" s="208" t="s">
        <v>279</v>
      </c>
      <c r="C101" s="64"/>
      <c r="D101" s="64"/>
      <c r="E101" s="64"/>
      <c r="F101" s="64"/>
      <c r="G101" s="54"/>
      <c r="H101" s="119"/>
      <c r="I101" s="54"/>
      <c r="J101" s="54"/>
      <c r="K101" s="47"/>
      <c r="L101" s="119"/>
      <c r="M101" s="54"/>
      <c r="N101" s="54"/>
      <c r="O101" s="54"/>
      <c r="P101" s="119"/>
      <c r="Q101" s="54"/>
      <c r="R101" s="54"/>
      <c r="S101" s="54"/>
      <c r="T101" s="119"/>
      <c r="U101" s="54"/>
      <c r="V101" s="54"/>
      <c r="W101" s="54"/>
      <c r="X101" s="119"/>
      <c r="Y101" s="54"/>
      <c r="Z101" s="54"/>
      <c r="AA101" s="54"/>
      <c r="AB101" s="119"/>
      <c r="AC101" s="54"/>
      <c r="AD101" s="180"/>
    </row>
    <row r="102" spans="1:30" s="38" customFormat="1" x14ac:dyDescent="0.2">
      <c r="A102" s="25"/>
      <c r="B102" s="205" t="s">
        <v>116</v>
      </c>
      <c r="C102" s="64">
        <f t="shared" si="36"/>
        <v>0</v>
      </c>
      <c r="D102" s="64">
        <f t="shared" si="37"/>
        <v>0</v>
      </c>
      <c r="E102" s="64">
        <f t="shared" si="38"/>
        <v>0</v>
      </c>
      <c r="F102" s="64">
        <f t="shared" si="39"/>
        <v>0</v>
      </c>
      <c r="G102" s="54"/>
      <c r="H102" s="119"/>
      <c r="I102" s="54"/>
      <c r="J102" s="54"/>
      <c r="K102" s="54"/>
      <c r="L102" s="119"/>
      <c r="M102" s="54"/>
      <c r="N102" s="54"/>
      <c r="O102" s="54"/>
      <c r="P102" s="119"/>
      <c r="Q102" s="54"/>
      <c r="R102" s="54"/>
      <c r="S102" s="54"/>
      <c r="T102" s="119"/>
      <c r="U102" s="54"/>
      <c r="V102" s="54"/>
      <c r="W102" s="54"/>
      <c r="X102" s="119"/>
      <c r="Y102" s="54"/>
      <c r="Z102" s="54"/>
      <c r="AA102" s="54"/>
      <c r="AB102" s="119"/>
      <c r="AC102" s="54"/>
      <c r="AD102" s="180"/>
    </row>
    <row r="103" spans="1:30" s="141" customFormat="1" ht="15" x14ac:dyDescent="0.25">
      <c r="A103" s="25"/>
      <c r="B103" s="208" t="s">
        <v>117</v>
      </c>
      <c r="C103" s="64">
        <f t="shared" si="36"/>
        <v>1</v>
      </c>
      <c r="D103" s="64">
        <f t="shared" si="37"/>
        <v>80000</v>
      </c>
      <c r="E103" s="64">
        <f t="shared" si="38"/>
        <v>0</v>
      </c>
      <c r="F103" s="64">
        <f t="shared" si="39"/>
        <v>0</v>
      </c>
      <c r="G103" s="47"/>
      <c r="H103" s="119"/>
      <c r="I103" s="54"/>
      <c r="J103" s="54"/>
      <c r="K103" s="54"/>
      <c r="L103" s="119"/>
      <c r="M103" s="54"/>
      <c r="N103" s="54"/>
      <c r="O103" s="54"/>
      <c r="P103" s="119"/>
      <c r="Q103" s="54"/>
      <c r="R103" s="54"/>
      <c r="S103" s="54"/>
      <c r="T103" s="119"/>
      <c r="U103" s="54"/>
      <c r="V103" s="54"/>
      <c r="W103" s="54">
        <v>1</v>
      </c>
      <c r="X103" s="119">
        <v>80000</v>
      </c>
      <c r="Y103" s="54"/>
      <c r="Z103" s="54"/>
      <c r="AA103" s="47"/>
      <c r="AB103" s="119"/>
      <c r="AC103" s="54"/>
      <c r="AD103" s="180"/>
    </row>
    <row r="104" spans="1:30" s="38" customFormat="1" x14ac:dyDescent="0.2">
      <c r="A104" s="25"/>
      <c r="B104" s="48" t="s">
        <v>118</v>
      </c>
      <c r="C104" s="64">
        <f t="shared" si="36"/>
        <v>0</v>
      </c>
      <c r="D104" s="64">
        <f t="shared" si="37"/>
        <v>0</v>
      </c>
      <c r="E104" s="64">
        <f t="shared" si="38"/>
        <v>0</v>
      </c>
      <c r="F104" s="64">
        <f t="shared" si="39"/>
        <v>0</v>
      </c>
      <c r="G104" s="54"/>
      <c r="H104" s="119"/>
      <c r="I104" s="54"/>
      <c r="J104" s="54"/>
      <c r="K104" s="54"/>
      <c r="L104" s="119"/>
      <c r="M104" s="54"/>
      <c r="N104" s="54"/>
      <c r="O104" s="54"/>
      <c r="P104" s="119"/>
      <c r="Q104" s="54"/>
      <c r="R104" s="54"/>
      <c r="S104" s="54"/>
      <c r="T104" s="119"/>
      <c r="U104" s="54"/>
      <c r="V104" s="54"/>
      <c r="W104" s="54"/>
      <c r="X104" s="119"/>
      <c r="Y104" s="54"/>
      <c r="Z104" s="54"/>
      <c r="AA104" s="54"/>
      <c r="AB104" s="119"/>
      <c r="AC104" s="54"/>
      <c r="AD104" s="180"/>
    </row>
    <row r="105" spans="1:30" s="141" customFormat="1" x14ac:dyDescent="0.2">
      <c r="A105" s="143"/>
      <c r="B105" s="205" t="s">
        <v>119</v>
      </c>
      <c r="C105" s="64">
        <f t="shared" ref="C105:C132" si="40">G105+K105+O105+S105+W105+AA105</f>
        <v>0</v>
      </c>
      <c r="D105" s="64">
        <f t="shared" si="37"/>
        <v>0</v>
      </c>
      <c r="E105" s="64">
        <f t="shared" si="38"/>
        <v>0</v>
      </c>
      <c r="F105" s="64">
        <f t="shared" si="39"/>
        <v>0</v>
      </c>
      <c r="G105" s="54"/>
      <c r="H105" s="119"/>
      <c r="I105" s="54"/>
      <c r="J105" s="54"/>
      <c r="K105" s="54"/>
      <c r="L105" s="119"/>
      <c r="M105" s="54"/>
      <c r="N105" s="54"/>
      <c r="O105" s="54"/>
      <c r="P105" s="119"/>
      <c r="Q105" s="54"/>
      <c r="R105" s="54"/>
      <c r="S105" s="54"/>
      <c r="T105" s="119"/>
      <c r="U105" s="54"/>
      <c r="V105" s="54"/>
      <c r="W105" s="54"/>
      <c r="X105" s="119"/>
      <c r="Y105" s="54"/>
      <c r="Z105" s="54"/>
      <c r="AA105" s="54"/>
      <c r="AB105" s="119"/>
      <c r="AC105" s="54"/>
      <c r="AD105" s="180"/>
    </row>
    <row r="106" spans="1:30" s="141" customFormat="1" ht="15" x14ac:dyDescent="0.25">
      <c r="A106" s="143"/>
      <c r="B106" s="48" t="s">
        <v>120</v>
      </c>
      <c r="C106" s="64">
        <f t="shared" si="40"/>
        <v>0</v>
      </c>
      <c r="D106" s="64">
        <f t="shared" si="37"/>
        <v>0</v>
      </c>
      <c r="E106" s="64">
        <f t="shared" si="38"/>
        <v>0</v>
      </c>
      <c r="F106" s="64">
        <f t="shared" si="39"/>
        <v>0</v>
      </c>
      <c r="G106" s="47"/>
      <c r="H106" s="119"/>
      <c r="I106" s="54"/>
      <c r="J106" s="54"/>
      <c r="K106" s="47"/>
      <c r="L106" s="119"/>
      <c r="M106" s="54"/>
      <c r="N106" s="54"/>
      <c r="O106" s="54"/>
      <c r="P106" s="119"/>
      <c r="Q106" s="54"/>
      <c r="R106" s="54"/>
      <c r="S106" s="54"/>
      <c r="T106" s="119"/>
      <c r="U106" s="54"/>
      <c r="V106" s="54"/>
      <c r="W106" s="47"/>
      <c r="X106" s="119"/>
      <c r="Y106" s="54"/>
      <c r="Z106" s="54"/>
      <c r="AA106" s="54"/>
      <c r="AB106" s="119"/>
      <c r="AC106" s="54"/>
      <c r="AD106" s="180"/>
    </row>
    <row r="107" spans="1:30" s="38" customFormat="1" ht="25.5" x14ac:dyDescent="0.2">
      <c r="A107" s="25"/>
      <c r="B107" s="320" t="s">
        <v>122</v>
      </c>
      <c r="C107" s="64">
        <f t="shared" si="40"/>
        <v>0</v>
      </c>
      <c r="D107" s="64">
        <f t="shared" si="37"/>
        <v>0</v>
      </c>
      <c r="E107" s="64">
        <f t="shared" si="38"/>
        <v>0</v>
      </c>
      <c r="F107" s="64">
        <f t="shared" si="39"/>
        <v>0</v>
      </c>
      <c r="G107" s="54"/>
      <c r="H107" s="119"/>
      <c r="I107" s="54"/>
      <c r="J107" s="54"/>
      <c r="K107" s="54"/>
      <c r="L107" s="119"/>
      <c r="M107" s="54"/>
      <c r="N107" s="54"/>
      <c r="O107" s="54"/>
      <c r="P107" s="119"/>
      <c r="Q107" s="54"/>
      <c r="R107" s="54"/>
      <c r="S107" s="54"/>
      <c r="T107" s="119"/>
      <c r="U107" s="54"/>
      <c r="V107" s="54"/>
      <c r="W107" s="54"/>
      <c r="X107" s="119"/>
      <c r="Y107" s="54"/>
      <c r="Z107" s="54"/>
      <c r="AA107" s="54"/>
      <c r="AB107" s="119"/>
      <c r="AC107" s="54"/>
      <c r="AD107" s="180"/>
    </row>
    <row r="108" spans="1:30" s="38" customFormat="1" ht="25.5" x14ac:dyDescent="0.2">
      <c r="A108" s="25"/>
      <c r="B108" s="209" t="s">
        <v>124</v>
      </c>
      <c r="C108" s="64">
        <f t="shared" si="40"/>
        <v>0</v>
      </c>
      <c r="D108" s="64">
        <f t="shared" si="37"/>
        <v>0</v>
      </c>
      <c r="E108" s="64">
        <f t="shared" si="38"/>
        <v>0</v>
      </c>
      <c r="F108" s="64">
        <f t="shared" si="39"/>
        <v>0</v>
      </c>
      <c r="G108" s="54"/>
      <c r="H108" s="119"/>
      <c r="I108" s="54"/>
      <c r="J108" s="54"/>
      <c r="K108" s="54"/>
      <c r="L108" s="119"/>
      <c r="M108" s="54"/>
      <c r="N108" s="54"/>
      <c r="O108" s="54"/>
      <c r="P108" s="119"/>
      <c r="Q108" s="54"/>
      <c r="R108" s="54"/>
      <c r="S108" s="54"/>
      <c r="T108" s="119"/>
      <c r="U108" s="54"/>
      <c r="V108" s="54"/>
      <c r="W108" s="54"/>
      <c r="X108" s="119"/>
      <c r="Y108" s="54"/>
      <c r="Z108" s="54"/>
      <c r="AA108" s="54"/>
      <c r="AB108" s="119"/>
      <c r="AC108" s="54"/>
      <c r="AD108" s="180"/>
    </row>
    <row r="109" spans="1:30" s="38" customFormat="1" ht="25.5" x14ac:dyDescent="0.2">
      <c r="A109" s="25"/>
      <c r="B109" s="320" t="s">
        <v>126</v>
      </c>
      <c r="C109" s="64">
        <f t="shared" si="40"/>
        <v>0</v>
      </c>
      <c r="D109" s="64">
        <f t="shared" si="37"/>
        <v>0</v>
      </c>
      <c r="E109" s="64">
        <f t="shared" si="38"/>
        <v>0</v>
      </c>
      <c r="F109" s="64">
        <f t="shared" si="39"/>
        <v>0</v>
      </c>
      <c r="G109" s="54"/>
      <c r="H109" s="119"/>
      <c r="I109" s="54"/>
      <c r="J109" s="54"/>
      <c r="K109" s="54"/>
      <c r="L109" s="119"/>
      <c r="M109" s="54"/>
      <c r="N109" s="54"/>
      <c r="O109" s="54"/>
      <c r="P109" s="119"/>
      <c r="Q109" s="54"/>
      <c r="R109" s="54"/>
      <c r="S109" s="54"/>
      <c r="T109" s="119"/>
      <c r="U109" s="54"/>
      <c r="V109" s="54"/>
      <c r="W109" s="54"/>
      <c r="X109" s="119"/>
      <c r="Y109" s="54"/>
      <c r="Z109" s="54"/>
      <c r="AA109" s="54"/>
      <c r="AB109" s="119"/>
      <c r="AC109" s="54"/>
      <c r="AD109" s="180"/>
    </row>
    <row r="110" spans="1:30" s="38" customFormat="1" ht="25.5" x14ac:dyDescent="0.2">
      <c r="A110" s="25"/>
      <c r="B110" s="320" t="s">
        <v>128</v>
      </c>
      <c r="C110" s="64">
        <f>G110+K110+O110+S110+W110+AA110</f>
        <v>0</v>
      </c>
      <c r="D110" s="64">
        <f>H110+L110+P110+T110+X110+AB110</f>
        <v>0</v>
      </c>
      <c r="E110" s="64">
        <f>I110+M110+Q110+U110+Y110+AC110</f>
        <v>0</v>
      </c>
      <c r="F110" s="64">
        <f>J110+N110+R110+V110+Z110+AD110</f>
        <v>0</v>
      </c>
      <c r="G110" s="54"/>
      <c r="H110" s="119"/>
      <c r="I110" s="54"/>
      <c r="J110" s="54"/>
      <c r="K110" s="54"/>
      <c r="L110" s="119"/>
      <c r="M110" s="54"/>
      <c r="N110" s="54"/>
      <c r="O110" s="54"/>
      <c r="P110" s="119"/>
      <c r="Q110" s="54"/>
      <c r="R110" s="54"/>
      <c r="S110" s="54"/>
      <c r="T110" s="119"/>
      <c r="U110" s="54"/>
      <c r="V110" s="54"/>
      <c r="W110" s="54"/>
      <c r="X110" s="119"/>
      <c r="Y110" s="54"/>
      <c r="Z110" s="54"/>
      <c r="AA110" s="54"/>
      <c r="AB110" s="119"/>
      <c r="AC110" s="54"/>
      <c r="AD110" s="180"/>
    </row>
    <row r="111" spans="1:30" s="38" customFormat="1" x14ac:dyDescent="0.2">
      <c r="A111" s="25"/>
      <c r="B111" s="320" t="s">
        <v>130</v>
      </c>
      <c r="C111" s="64">
        <f t="shared" si="40"/>
        <v>0</v>
      </c>
      <c r="D111" s="64">
        <f t="shared" si="37"/>
        <v>0</v>
      </c>
      <c r="E111" s="64">
        <f t="shared" si="38"/>
        <v>0</v>
      </c>
      <c r="F111" s="64">
        <f t="shared" si="39"/>
        <v>0</v>
      </c>
      <c r="G111" s="54"/>
      <c r="H111" s="119"/>
      <c r="I111" s="54"/>
      <c r="J111" s="54"/>
      <c r="K111" s="54"/>
      <c r="L111" s="119"/>
      <c r="M111" s="54"/>
      <c r="N111" s="54"/>
      <c r="O111" s="54"/>
      <c r="P111" s="119"/>
      <c r="Q111" s="54"/>
      <c r="R111" s="54"/>
      <c r="S111" s="54"/>
      <c r="T111" s="119"/>
      <c r="U111" s="54"/>
      <c r="V111" s="54"/>
      <c r="W111" s="54"/>
      <c r="X111" s="119"/>
      <c r="Y111" s="54"/>
      <c r="Z111" s="54"/>
      <c r="AA111" s="54"/>
      <c r="AB111" s="119"/>
      <c r="AC111" s="54"/>
      <c r="AD111" s="180"/>
    </row>
    <row r="112" spans="1:30" s="38" customFormat="1" x14ac:dyDescent="0.2">
      <c r="A112" s="25"/>
      <c r="B112" s="320" t="s">
        <v>280</v>
      </c>
      <c r="C112" s="64">
        <f t="shared" ref="C112:F114" si="41">G112+K112+O112+S112+W112+AA112</f>
        <v>0</v>
      </c>
      <c r="D112" s="64">
        <f t="shared" si="41"/>
        <v>0</v>
      </c>
      <c r="E112" s="64">
        <f t="shared" si="41"/>
        <v>0</v>
      </c>
      <c r="F112" s="64">
        <f t="shared" si="41"/>
        <v>0</v>
      </c>
      <c r="G112" s="54"/>
      <c r="H112" s="119"/>
      <c r="I112" s="54"/>
      <c r="J112" s="54"/>
      <c r="K112" s="54"/>
      <c r="L112" s="119"/>
      <c r="M112" s="54"/>
      <c r="N112" s="54"/>
      <c r="O112" s="54"/>
      <c r="P112" s="119"/>
      <c r="Q112" s="54"/>
      <c r="R112" s="54"/>
      <c r="S112" s="54"/>
      <c r="T112" s="119"/>
      <c r="U112" s="54"/>
      <c r="V112" s="54"/>
      <c r="W112" s="54"/>
      <c r="X112" s="119"/>
      <c r="Y112" s="54"/>
      <c r="Z112" s="54"/>
      <c r="AA112" s="54"/>
      <c r="AB112" s="119"/>
      <c r="AC112" s="54"/>
      <c r="AD112" s="180"/>
    </row>
    <row r="113" spans="1:30" s="38" customFormat="1" x14ac:dyDescent="0.2">
      <c r="A113" s="25"/>
      <c r="B113" s="320" t="s">
        <v>133</v>
      </c>
      <c r="C113" s="64">
        <f t="shared" si="41"/>
        <v>0</v>
      </c>
      <c r="D113" s="64">
        <f t="shared" si="41"/>
        <v>0</v>
      </c>
      <c r="E113" s="64">
        <f t="shared" si="41"/>
        <v>0</v>
      </c>
      <c r="F113" s="64">
        <f t="shared" si="41"/>
        <v>0</v>
      </c>
      <c r="G113" s="54"/>
      <c r="H113" s="119"/>
      <c r="I113" s="54"/>
      <c r="J113" s="54"/>
      <c r="K113" s="54"/>
      <c r="L113" s="119"/>
      <c r="M113" s="54"/>
      <c r="N113" s="54"/>
      <c r="O113" s="54"/>
      <c r="P113" s="119"/>
      <c r="Q113" s="54"/>
      <c r="R113" s="54"/>
      <c r="S113" s="54"/>
      <c r="T113" s="119"/>
      <c r="U113" s="54"/>
      <c r="V113" s="54"/>
      <c r="W113" s="54"/>
      <c r="X113" s="119"/>
      <c r="Y113" s="54"/>
      <c r="Z113" s="54"/>
      <c r="AA113" s="54"/>
      <c r="AB113" s="119"/>
      <c r="AC113" s="54"/>
      <c r="AD113" s="180"/>
    </row>
    <row r="114" spans="1:30" s="141" customFormat="1" ht="13.5" customHeight="1" x14ac:dyDescent="0.2">
      <c r="A114" s="25"/>
      <c r="B114" s="208" t="s">
        <v>134</v>
      </c>
      <c r="C114" s="64">
        <f t="shared" si="41"/>
        <v>0</v>
      </c>
      <c r="D114" s="64">
        <f t="shared" si="41"/>
        <v>0</v>
      </c>
      <c r="E114" s="64">
        <f t="shared" si="41"/>
        <v>0</v>
      </c>
      <c r="F114" s="64">
        <f t="shared" si="41"/>
        <v>0</v>
      </c>
      <c r="G114" s="54"/>
      <c r="H114" s="119"/>
      <c r="I114" s="54"/>
      <c r="J114" s="54"/>
      <c r="K114" s="54"/>
      <c r="L114" s="119"/>
      <c r="M114" s="54"/>
      <c r="N114" s="54"/>
      <c r="O114" s="54"/>
      <c r="P114" s="119"/>
      <c r="Q114" s="54"/>
      <c r="R114" s="54"/>
      <c r="S114" s="54"/>
      <c r="T114" s="119"/>
      <c r="U114" s="54"/>
      <c r="V114" s="54"/>
      <c r="W114" s="54"/>
      <c r="X114" s="119"/>
      <c r="Y114" s="54"/>
      <c r="Z114" s="54"/>
      <c r="AA114" s="54"/>
      <c r="AB114" s="119"/>
      <c r="AC114" s="54"/>
      <c r="AD114" s="180"/>
    </row>
    <row r="115" spans="1:30" s="141" customFormat="1" ht="13.5" customHeight="1" x14ac:dyDescent="0.2">
      <c r="A115" s="25"/>
      <c r="B115" s="208" t="s">
        <v>135</v>
      </c>
      <c r="C115" s="64"/>
      <c r="D115" s="64"/>
      <c r="E115" s="64"/>
      <c r="F115" s="64"/>
      <c r="G115" s="54"/>
      <c r="H115" s="119"/>
      <c r="I115" s="54"/>
      <c r="J115" s="54"/>
      <c r="K115" s="54"/>
      <c r="L115" s="119"/>
      <c r="M115" s="54"/>
      <c r="N115" s="54"/>
      <c r="O115" s="54"/>
      <c r="P115" s="119"/>
      <c r="Q115" s="54"/>
      <c r="R115" s="54"/>
      <c r="S115" s="54"/>
      <c r="T115" s="119"/>
      <c r="U115" s="54"/>
      <c r="V115" s="54"/>
      <c r="W115" s="54"/>
      <c r="X115" s="119"/>
      <c r="Y115" s="54"/>
      <c r="Z115" s="54"/>
      <c r="AA115" s="54"/>
      <c r="AB115" s="119"/>
      <c r="AC115" s="54"/>
      <c r="AD115" s="180"/>
    </row>
    <row r="116" spans="1:30" s="141" customFormat="1" ht="25.5" x14ac:dyDescent="0.2">
      <c r="A116" s="25"/>
      <c r="B116" s="208" t="s">
        <v>136</v>
      </c>
      <c r="C116" s="64"/>
      <c r="D116" s="64">
        <f>H116+L116+P116+T116+X116+AB116</f>
        <v>0</v>
      </c>
      <c r="E116" s="64">
        <f>I116+M116+Q116+U116+Y116+AC116</f>
        <v>0</v>
      </c>
      <c r="F116" s="64">
        <f>J116+N116+R116+V116+Z116+AD116</f>
        <v>0</v>
      </c>
      <c r="G116" s="54"/>
      <c r="H116" s="119"/>
      <c r="I116" s="54"/>
      <c r="J116" s="54"/>
      <c r="K116" s="54"/>
      <c r="L116" s="119"/>
      <c r="M116" s="54"/>
      <c r="N116" s="54"/>
      <c r="O116" s="54"/>
      <c r="P116" s="119"/>
      <c r="Q116" s="54"/>
      <c r="R116" s="54"/>
      <c r="S116" s="54"/>
      <c r="T116" s="119"/>
      <c r="U116" s="54"/>
      <c r="V116" s="54"/>
      <c r="W116" s="54"/>
      <c r="X116" s="119"/>
      <c r="Y116" s="54"/>
      <c r="Z116" s="54"/>
      <c r="AA116" s="54"/>
      <c r="AB116" s="119"/>
      <c r="AC116" s="54"/>
      <c r="AD116" s="180"/>
    </row>
    <row r="117" spans="1:30" s="38" customFormat="1" x14ac:dyDescent="0.2">
      <c r="A117" s="25"/>
      <c r="B117" s="205" t="s">
        <v>137</v>
      </c>
      <c r="C117" s="64">
        <f t="shared" ref="C117:F122" si="42">G117+K117+O117+S117+W117+AA117</f>
        <v>0</v>
      </c>
      <c r="D117" s="64">
        <f t="shared" si="42"/>
        <v>0</v>
      </c>
      <c r="E117" s="64">
        <f t="shared" si="42"/>
        <v>0</v>
      </c>
      <c r="F117" s="64">
        <f t="shared" si="42"/>
        <v>0</v>
      </c>
      <c r="G117" s="54"/>
      <c r="H117" s="119"/>
      <c r="I117" s="54"/>
      <c r="J117" s="54"/>
      <c r="K117" s="54"/>
      <c r="L117" s="119"/>
      <c r="M117" s="54"/>
      <c r="N117" s="54"/>
      <c r="O117" s="54"/>
      <c r="P117" s="119"/>
      <c r="Q117" s="54"/>
      <c r="R117" s="54"/>
      <c r="S117" s="54"/>
      <c r="T117" s="119"/>
      <c r="U117" s="54"/>
      <c r="V117" s="54"/>
      <c r="W117" s="54"/>
      <c r="X117" s="119"/>
      <c r="Y117" s="54"/>
      <c r="Z117" s="54"/>
      <c r="AA117" s="54"/>
      <c r="AB117" s="119"/>
      <c r="AC117" s="54"/>
      <c r="AD117" s="180"/>
    </row>
    <row r="118" spans="1:30" s="38" customFormat="1" x14ac:dyDescent="0.2">
      <c r="A118" s="25"/>
      <c r="B118" s="205" t="s">
        <v>138</v>
      </c>
      <c r="C118" s="64">
        <f t="shared" si="42"/>
        <v>0</v>
      </c>
      <c r="D118" s="64">
        <f t="shared" si="42"/>
        <v>0</v>
      </c>
      <c r="E118" s="64">
        <f t="shared" si="42"/>
        <v>0</v>
      </c>
      <c r="F118" s="64">
        <f t="shared" si="42"/>
        <v>0</v>
      </c>
      <c r="G118" s="54"/>
      <c r="H118" s="119"/>
      <c r="I118" s="54"/>
      <c r="J118" s="54"/>
      <c r="K118" s="54"/>
      <c r="L118" s="119"/>
      <c r="M118" s="54"/>
      <c r="N118" s="54"/>
      <c r="O118" s="54"/>
      <c r="P118" s="119"/>
      <c r="Q118" s="54"/>
      <c r="R118" s="54"/>
      <c r="S118" s="54"/>
      <c r="T118" s="119"/>
      <c r="U118" s="54"/>
      <c r="V118" s="54"/>
      <c r="W118" s="54"/>
      <c r="X118" s="119"/>
      <c r="Y118" s="54"/>
      <c r="Z118" s="54"/>
      <c r="AA118" s="54"/>
      <c r="AB118" s="119"/>
      <c r="AC118" s="54"/>
      <c r="AD118" s="180"/>
    </row>
    <row r="119" spans="1:30" s="38" customFormat="1" x14ac:dyDescent="0.2">
      <c r="A119" s="25"/>
      <c r="B119" s="48" t="s">
        <v>139</v>
      </c>
      <c r="C119" s="64">
        <f t="shared" si="42"/>
        <v>0</v>
      </c>
      <c r="D119" s="64">
        <f t="shared" si="42"/>
        <v>0</v>
      </c>
      <c r="E119" s="64">
        <f t="shared" si="42"/>
        <v>0</v>
      </c>
      <c r="F119" s="64">
        <f t="shared" si="42"/>
        <v>0</v>
      </c>
      <c r="G119" s="54"/>
      <c r="H119" s="119"/>
      <c r="I119" s="54"/>
      <c r="J119" s="54"/>
      <c r="K119" s="54"/>
      <c r="L119" s="119"/>
      <c r="M119" s="54"/>
      <c r="N119" s="54"/>
      <c r="O119" s="54"/>
      <c r="P119" s="119"/>
      <c r="Q119" s="54"/>
      <c r="R119" s="54"/>
      <c r="S119" s="54"/>
      <c r="T119" s="119"/>
      <c r="U119" s="54"/>
      <c r="V119" s="54"/>
      <c r="W119" s="54"/>
      <c r="X119" s="119"/>
      <c r="Y119" s="54"/>
      <c r="Z119" s="54"/>
      <c r="AA119" s="54"/>
      <c r="AB119" s="119"/>
      <c r="AC119" s="54"/>
      <c r="AD119" s="180"/>
    </row>
    <row r="120" spans="1:30" s="38" customFormat="1" x14ac:dyDescent="0.2">
      <c r="A120" s="25"/>
      <c r="B120" s="48" t="s">
        <v>140</v>
      </c>
      <c r="C120" s="64">
        <f t="shared" si="42"/>
        <v>0</v>
      </c>
      <c r="D120" s="64">
        <f t="shared" si="42"/>
        <v>0</v>
      </c>
      <c r="E120" s="64">
        <f t="shared" si="42"/>
        <v>0</v>
      </c>
      <c r="F120" s="64">
        <f t="shared" si="42"/>
        <v>0</v>
      </c>
      <c r="G120" s="54"/>
      <c r="H120" s="119"/>
      <c r="I120" s="54"/>
      <c r="J120" s="54"/>
      <c r="K120" s="54"/>
      <c r="L120" s="119"/>
      <c r="M120" s="54"/>
      <c r="N120" s="54"/>
      <c r="O120" s="54"/>
      <c r="P120" s="119"/>
      <c r="Q120" s="54"/>
      <c r="R120" s="54"/>
      <c r="S120" s="54"/>
      <c r="T120" s="119"/>
      <c r="U120" s="54"/>
      <c r="V120" s="54"/>
      <c r="W120" s="54"/>
      <c r="X120" s="119"/>
      <c r="Y120" s="54"/>
      <c r="Z120" s="54"/>
      <c r="AA120" s="54"/>
      <c r="AB120" s="119"/>
      <c r="AC120" s="54"/>
      <c r="AD120" s="180"/>
    </row>
    <row r="121" spans="1:30" s="38" customFormat="1" x14ac:dyDescent="0.2">
      <c r="A121" s="25"/>
      <c r="B121" s="48" t="s">
        <v>141</v>
      </c>
      <c r="C121" s="64">
        <f t="shared" si="42"/>
        <v>0</v>
      </c>
      <c r="D121" s="64">
        <f t="shared" si="42"/>
        <v>0</v>
      </c>
      <c r="E121" s="64">
        <f t="shared" si="42"/>
        <v>0</v>
      </c>
      <c r="F121" s="64">
        <f t="shared" si="42"/>
        <v>0</v>
      </c>
      <c r="G121" s="54"/>
      <c r="H121" s="119"/>
      <c r="I121" s="54"/>
      <c r="J121" s="54"/>
      <c r="K121" s="54"/>
      <c r="L121" s="119"/>
      <c r="M121" s="54"/>
      <c r="N121" s="54"/>
      <c r="O121" s="54"/>
      <c r="P121" s="119"/>
      <c r="Q121" s="54"/>
      <c r="R121" s="54"/>
      <c r="S121" s="54"/>
      <c r="T121" s="119"/>
      <c r="U121" s="54"/>
      <c r="V121" s="54"/>
      <c r="W121" s="54"/>
      <c r="X121" s="119"/>
      <c r="Y121" s="54"/>
      <c r="Z121" s="54"/>
      <c r="AA121" s="54"/>
      <c r="AB121" s="119"/>
      <c r="AC121" s="54"/>
      <c r="AD121" s="180"/>
    </row>
    <row r="122" spans="1:30" s="38" customFormat="1" x14ac:dyDescent="0.2">
      <c r="A122" s="25"/>
      <c r="B122" s="48" t="s">
        <v>142</v>
      </c>
      <c r="C122" s="64">
        <f t="shared" si="42"/>
        <v>0</v>
      </c>
      <c r="D122" s="64">
        <f t="shared" si="42"/>
        <v>0</v>
      </c>
      <c r="E122" s="64">
        <f t="shared" si="42"/>
        <v>0</v>
      </c>
      <c r="F122" s="64">
        <f t="shared" si="42"/>
        <v>0</v>
      </c>
      <c r="G122" s="54"/>
      <c r="H122" s="119"/>
      <c r="I122" s="54"/>
      <c r="J122" s="54"/>
      <c r="K122" s="54"/>
      <c r="L122" s="119"/>
      <c r="M122" s="54"/>
      <c r="N122" s="54"/>
      <c r="O122" s="54"/>
      <c r="P122" s="119"/>
      <c r="Q122" s="54"/>
      <c r="R122" s="54"/>
      <c r="S122" s="54"/>
      <c r="T122" s="119"/>
      <c r="U122" s="54"/>
      <c r="V122" s="54"/>
      <c r="W122" s="54"/>
      <c r="X122" s="119"/>
      <c r="Y122" s="54"/>
      <c r="Z122" s="54"/>
      <c r="AA122" s="54"/>
      <c r="AB122" s="119"/>
      <c r="AC122" s="54"/>
      <c r="AD122" s="180"/>
    </row>
    <row r="123" spans="1:30" s="38" customFormat="1" x14ac:dyDescent="0.2">
      <c r="A123" s="25"/>
      <c r="B123" s="205" t="s">
        <v>143</v>
      </c>
      <c r="C123" s="64">
        <f t="shared" ref="C123:F123" si="43">G123+K123+O123+S123+W123+AA123</f>
        <v>0</v>
      </c>
      <c r="D123" s="64">
        <f t="shared" si="43"/>
        <v>0</v>
      </c>
      <c r="E123" s="64">
        <f t="shared" si="43"/>
        <v>0</v>
      </c>
      <c r="F123" s="64">
        <f t="shared" si="43"/>
        <v>0</v>
      </c>
      <c r="G123" s="54"/>
      <c r="H123" s="119"/>
      <c r="I123" s="54"/>
      <c r="J123" s="54"/>
      <c r="K123" s="54"/>
      <c r="L123" s="119"/>
      <c r="M123" s="54"/>
      <c r="N123" s="54"/>
      <c r="O123" s="54"/>
      <c r="P123" s="119"/>
      <c r="Q123" s="54"/>
      <c r="R123" s="54"/>
      <c r="S123" s="54"/>
      <c r="T123" s="119"/>
      <c r="U123" s="54"/>
      <c r="V123" s="54"/>
      <c r="W123" s="54"/>
      <c r="X123" s="119"/>
      <c r="Y123" s="54"/>
      <c r="Z123" s="54"/>
      <c r="AA123" s="54"/>
      <c r="AB123" s="119"/>
      <c r="AC123" s="54"/>
      <c r="AD123" s="180"/>
    </row>
    <row r="124" spans="1:30" s="38" customFormat="1" ht="15" x14ac:dyDescent="0.25">
      <c r="A124" s="25"/>
      <c r="B124" s="48" t="s">
        <v>144</v>
      </c>
      <c r="C124" s="64">
        <f t="shared" si="40"/>
        <v>0</v>
      </c>
      <c r="D124" s="64">
        <f t="shared" si="37"/>
        <v>0</v>
      </c>
      <c r="E124" s="64">
        <f t="shared" si="38"/>
        <v>0</v>
      </c>
      <c r="F124" s="64">
        <f t="shared" si="39"/>
        <v>0</v>
      </c>
      <c r="G124" s="47"/>
      <c r="H124" s="119"/>
      <c r="I124" s="54"/>
      <c r="J124" s="54"/>
      <c r="K124" s="47"/>
      <c r="L124" s="119"/>
      <c r="M124" s="54"/>
      <c r="N124" s="54"/>
      <c r="O124" s="54"/>
      <c r="P124" s="119"/>
      <c r="Q124" s="54"/>
      <c r="R124" s="54"/>
      <c r="S124" s="54"/>
      <c r="T124" s="119"/>
      <c r="U124" s="54"/>
      <c r="V124" s="54"/>
      <c r="W124" s="54"/>
      <c r="X124" s="119"/>
      <c r="Y124" s="54"/>
      <c r="Z124" s="54"/>
      <c r="AA124" s="47"/>
      <c r="AB124" s="119"/>
      <c r="AC124" s="54"/>
      <c r="AD124" s="180"/>
    </row>
    <row r="125" spans="1:30" s="38" customFormat="1" ht="38.25" x14ac:dyDescent="0.2">
      <c r="A125" s="25"/>
      <c r="B125" s="205" t="s">
        <v>145</v>
      </c>
      <c r="C125" s="64">
        <f>G125+K125+O125+S125+W125+AA125</f>
        <v>0</v>
      </c>
      <c r="D125" s="64">
        <f>H125+L125+P125+T125+X125+AB125</f>
        <v>0</v>
      </c>
      <c r="E125" s="64">
        <f>I125+M125+Q125+U125+Y125+AC125</f>
        <v>0</v>
      </c>
      <c r="F125" s="64">
        <f>J125+N125+R125+V125+Z125+AD125</f>
        <v>0</v>
      </c>
      <c r="G125" s="54"/>
      <c r="H125" s="119"/>
      <c r="I125" s="54"/>
      <c r="J125" s="54"/>
      <c r="K125" s="54"/>
      <c r="L125" s="119"/>
      <c r="M125" s="54"/>
      <c r="N125" s="54"/>
      <c r="O125" s="54"/>
      <c r="P125" s="119"/>
      <c r="Q125" s="54"/>
      <c r="R125" s="54"/>
      <c r="S125" s="54"/>
      <c r="T125" s="119"/>
      <c r="U125" s="54"/>
      <c r="V125" s="54"/>
      <c r="W125" s="54"/>
      <c r="X125" s="119"/>
      <c r="Y125" s="54"/>
      <c r="Z125" s="54"/>
      <c r="AA125" s="54"/>
      <c r="AB125" s="119"/>
      <c r="AC125" s="54"/>
      <c r="AD125" s="180"/>
    </row>
    <row r="126" spans="1:30" s="38" customFormat="1" x14ac:dyDescent="0.2">
      <c r="A126" s="25"/>
      <c r="B126" s="205" t="s">
        <v>146</v>
      </c>
      <c r="C126" s="64"/>
      <c r="D126" s="64"/>
      <c r="E126" s="64"/>
      <c r="F126" s="64"/>
      <c r="G126" s="54"/>
      <c r="H126" s="119"/>
      <c r="I126" s="54"/>
      <c r="J126" s="54"/>
      <c r="K126" s="54"/>
      <c r="L126" s="119"/>
      <c r="M126" s="54"/>
      <c r="N126" s="54"/>
      <c r="O126" s="54"/>
      <c r="P126" s="119"/>
      <c r="Q126" s="54"/>
      <c r="R126" s="54"/>
      <c r="S126" s="54"/>
      <c r="T126" s="119"/>
      <c r="U126" s="54"/>
      <c r="V126" s="54"/>
      <c r="W126" s="54"/>
      <c r="X126" s="119"/>
      <c r="Y126" s="54"/>
      <c r="Z126" s="54"/>
      <c r="AA126" s="54"/>
      <c r="AB126" s="119"/>
      <c r="AC126" s="54"/>
      <c r="AD126" s="180"/>
    </row>
    <row r="127" spans="1:30" s="38" customFormat="1" x14ac:dyDescent="0.2">
      <c r="A127" s="25"/>
      <c r="B127" s="205" t="s">
        <v>147</v>
      </c>
      <c r="C127" s="64"/>
      <c r="D127" s="64"/>
      <c r="E127" s="64"/>
      <c r="F127" s="64"/>
      <c r="G127" s="54"/>
      <c r="H127" s="119"/>
      <c r="I127" s="54"/>
      <c r="J127" s="54"/>
      <c r="K127" s="54"/>
      <c r="L127" s="119"/>
      <c r="M127" s="54"/>
      <c r="N127" s="54"/>
      <c r="O127" s="54"/>
      <c r="P127" s="119"/>
      <c r="Q127" s="54"/>
      <c r="R127" s="54"/>
      <c r="S127" s="54"/>
      <c r="T127" s="119"/>
      <c r="U127" s="54"/>
      <c r="V127" s="54"/>
      <c r="W127" s="54"/>
      <c r="X127" s="119"/>
      <c r="Y127" s="54"/>
      <c r="Z127" s="54"/>
      <c r="AA127" s="54"/>
      <c r="AB127" s="119"/>
      <c r="AC127" s="54"/>
      <c r="AD127" s="180"/>
    </row>
    <row r="128" spans="1:30" s="38" customFormat="1" x14ac:dyDescent="0.2">
      <c r="A128" s="25"/>
      <c r="B128" s="205" t="s">
        <v>148</v>
      </c>
      <c r="C128" s="64"/>
      <c r="D128" s="64"/>
      <c r="E128" s="64"/>
      <c r="F128" s="64"/>
      <c r="G128" s="54"/>
      <c r="H128" s="119"/>
      <c r="I128" s="54"/>
      <c r="J128" s="54"/>
      <c r="K128" s="54"/>
      <c r="L128" s="119"/>
      <c r="M128" s="54"/>
      <c r="N128" s="54"/>
      <c r="O128" s="54"/>
      <c r="P128" s="119"/>
      <c r="Q128" s="54"/>
      <c r="R128" s="54"/>
      <c r="S128" s="54"/>
      <c r="T128" s="119"/>
      <c r="U128" s="54"/>
      <c r="V128" s="54"/>
      <c r="W128" s="54"/>
      <c r="X128" s="119"/>
      <c r="Y128" s="54"/>
      <c r="Z128" s="54"/>
      <c r="AA128" s="54"/>
      <c r="AB128" s="119"/>
      <c r="AC128" s="54"/>
      <c r="AD128" s="180"/>
    </row>
    <row r="129" spans="1:30" s="53" customFormat="1" ht="27" customHeight="1" x14ac:dyDescent="0.2">
      <c r="A129" s="25"/>
      <c r="B129" s="205" t="s">
        <v>149</v>
      </c>
      <c r="C129" s="64">
        <f t="shared" si="40"/>
        <v>0</v>
      </c>
      <c r="D129" s="64">
        <f t="shared" si="37"/>
        <v>0</v>
      </c>
      <c r="E129" s="64">
        <f t="shared" si="38"/>
        <v>0</v>
      </c>
      <c r="F129" s="64">
        <f t="shared" si="39"/>
        <v>0</v>
      </c>
      <c r="G129" s="54"/>
      <c r="H129" s="119"/>
      <c r="I129" s="54"/>
      <c r="J129" s="54"/>
      <c r="K129" s="54"/>
      <c r="L129" s="119"/>
      <c r="M129" s="54"/>
      <c r="N129" s="54"/>
      <c r="O129" s="54"/>
      <c r="P129" s="119"/>
      <c r="Q129" s="54"/>
      <c r="R129" s="54"/>
      <c r="S129" s="54"/>
      <c r="T129" s="119"/>
      <c r="U129" s="54"/>
      <c r="V129" s="54"/>
      <c r="W129" s="54"/>
      <c r="X129" s="119"/>
      <c r="Y129" s="54"/>
      <c r="Z129" s="54"/>
      <c r="AA129" s="54"/>
      <c r="AB129" s="119"/>
      <c r="AC129" s="54"/>
      <c r="AD129" s="180"/>
    </row>
    <row r="130" spans="1:30" s="38" customFormat="1" x14ac:dyDescent="0.2">
      <c r="A130" s="25"/>
      <c r="B130" s="205" t="s">
        <v>150</v>
      </c>
      <c r="C130" s="64">
        <f t="shared" si="40"/>
        <v>0</v>
      </c>
      <c r="D130" s="64">
        <f t="shared" si="37"/>
        <v>0</v>
      </c>
      <c r="E130" s="64">
        <f t="shared" si="38"/>
        <v>0</v>
      </c>
      <c r="F130" s="64">
        <f t="shared" si="39"/>
        <v>0</v>
      </c>
      <c r="G130" s="54"/>
      <c r="H130" s="119"/>
      <c r="I130" s="54"/>
      <c r="J130" s="54"/>
      <c r="K130" s="54"/>
      <c r="L130" s="119"/>
      <c r="M130" s="54"/>
      <c r="N130" s="54"/>
      <c r="O130" s="54"/>
      <c r="P130" s="119"/>
      <c r="Q130" s="54"/>
      <c r="R130" s="54"/>
      <c r="S130" s="54"/>
      <c r="T130" s="119"/>
      <c r="U130" s="54"/>
      <c r="V130" s="54"/>
      <c r="W130" s="54"/>
      <c r="X130" s="119"/>
      <c r="Y130" s="54"/>
      <c r="Z130" s="54"/>
      <c r="AA130" s="54"/>
      <c r="AB130" s="119"/>
      <c r="AC130" s="54"/>
      <c r="AD130" s="180"/>
    </row>
    <row r="131" spans="1:30" s="38" customFormat="1" x14ac:dyDescent="0.2">
      <c r="A131" s="25"/>
      <c r="B131" s="205" t="s">
        <v>151</v>
      </c>
      <c r="C131" s="64">
        <f t="shared" si="40"/>
        <v>3</v>
      </c>
      <c r="D131" s="64">
        <f t="shared" si="37"/>
        <v>34000</v>
      </c>
      <c r="E131" s="64">
        <f t="shared" si="38"/>
        <v>0</v>
      </c>
      <c r="F131" s="64">
        <f t="shared" si="39"/>
        <v>0</v>
      </c>
      <c r="G131" s="54">
        <v>2</v>
      </c>
      <c r="H131" s="119">
        <f>12000*G131</f>
        <v>24000</v>
      </c>
      <c r="I131" s="54"/>
      <c r="J131" s="54"/>
      <c r="K131" s="54"/>
      <c r="L131" s="119"/>
      <c r="M131" s="54"/>
      <c r="N131" s="54"/>
      <c r="O131" s="54">
        <v>1</v>
      </c>
      <c r="P131" s="119">
        <f>O131*10000</f>
        <v>10000</v>
      </c>
      <c r="Q131" s="54"/>
      <c r="R131" s="54"/>
      <c r="S131" s="54"/>
      <c r="T131" s="119"/>
      <c r="U131" s="54"/>
      <c r="V131" s="54"/>
      <c r="W131" s="54"/>
      <c r="X131" s="119"/>
      <c r="Y131" s="54"/>
      <c r="Z131" s="54"/>
      <c r="AA131" s="54"/>
      <c r="AB131" s="119"/>
      <c r="AC131" s="54"/>
      <c r="AD131" s="180"/>
    </row>
    <row r="132" spans="1:30" s="38" customFormat="1" ht="15.75" thickBot="1" x14ac:dyDescent="0.3">
      <c r="A132" s="181"/>
      <c r="B132" s="182" t="s">
        <v>152</v>
      </c>
      <c r="C132" s="239">
        <f t="shared" si="40"/>
        <v>6</v>
      </c>
      <c r="D132" s="239">
        <f t="shared" si="37"/>
        <v>240000</v>
      </c>
      <c r="E132" s="239">
        <f t="shared" si="38"/>
        <v>0</v>
      </c>
      <c r="F132" s="239">
        <f t="shared" si="39"/>
        <v>0</v>
      </c>
      <c r="G132" s="200"/>
      <c r="H132" s="184"/>
      <c r="I132" s="200"/>
      <c r="J132" s="200"/>
      <c r="K132" s="183"/>
      <c r="L132" s="184"/>
      <c r="M132" s="200"/>
      <c r="N132" s="200"/>
      <c r="O132" s="200">
        <v>4</v>
      </c>
      <c r="P132" s="184">
        <f>O132*40000</f>
        <v>160000</v>
      </c>
      <c r="Q132" s="200"/>
      <c r="R132" s="200"/>
      <c r="S132" s="200"/>
      <c r="T132" s="184"/>
      <c r="U132" s="200"/>
      <c r="V132" s="200"/>
      <c r="W132" s="200">
        <v>1</v>
      </c>
      <c r="X132" s="184">
        <f>W132*40000</f>
        <v>40000</v>
      </c>
      <c r="Y132" s="200"/>
      <c r="Z132" s="200"/>
      <c r="AA132" s="200">
        <v>1</v>
      </c>
      <c r="AB132" s="184">
        <f>AA132*40000</f>
        <v>40000</v>
      </c>
      <c r="AC132" s="200"/>
      <c r="AD132" s="186"/>
    </row>
    <row r="133" spans="1:30" ht="13.5" thickBot="1" x14ac:dyDescent="0.25">
      <c r="A133" s="278"/>
      <c r="B133" s="233" t="s">
        <v>160</v>
      </c>
      <c r="C133" s="234">
        <f t="shared" ref="C133:AD133" si="44">SUM(C94:C132)</f>
        <v>10</v>
      </c>
      <c r="D133" s="234">
        <f t="shared" si="44"/>
        <v>354000</v>
      </c>
      <c r="E133" s="234">
        <f t="shared" si="44"/>
        <v>0</v>
      </c>
      <c r="F133" s="234">
        <f t="shared" si="44"/>
        <v>0</v>
      </c>
      <c r="G133" s="234">
        <f t="shared" si="44"/>
        <v>2</v>
      </c>
      <c r="H133" s="234">
        <f t="shared" si="44"/>
        <v>24000</v>
      </c>
      <c r="I133" s="234">
        <f t="shared" si="44"/>
        <v>0</v>
      </c>
      <c r="J133" s="234">
        <f t="shared" si="44"/>
        <v>0</v>
      </c>
      <c r="K133" s="234">
        <f t="shared" si="44"/>
        <v>0</v>
      </c>
      <c r="L133" s="234">
        <f t="shared" si="44"/>
        <v>0</v>
      </c>
      <c r="M133" s="234">
        <f t="shared" si="44"/>
        <v>0</v>
      </c>
      <c r="N133" s="234">
        <f t="shared" si="44"/>
        <v>0</v>
      </c>
      <c r="O133" s="234">
        <f t="shared" si="44"/>
        <v>5</v>
      </c>
      <c r="P133" s="234">
        <f t="shared" si="44"/>
        <v>170000</v>
      </c>
      <c r="Q133" s="234">
        <f t="shared" si="44"/>
        <v>0</v>
      </c>
      <c r="R133" s="234">
        <f t="shared" si="44"/>
        <v>0</v>
      </c>
      <c r="S133" s="234">
        <f t="shared" si="44"/>
        <v>0</v>
      </c>
      <c r="T133" s="234">
        <f t="shared" si="44"/>
        <v>0</v>
      </c>
      <c r="U133" s="234">
        <f t="shared" si="44"/>
        <v>0</v>
      </c>
      <c r="V133" s="234">
        <f t="shared" si="44"/>
        <v>0</v>
      </c>
      <c r="W133" s="234">
        <f t="shared" si="44"/>
        <v>2</v>
      </c>
      <c r="X133" s="234">
        <f t="shared" si="44"/>
        <v>120000</v>
      </c>
      <c r="Y133" s="234">
        <f t="shared" si="44"/>
        <v>0</v>
      </c>
      <c r="Z133" s="234">
        <f t="shared" si="44"/>
        <v>0</v>
      </c>
      <c r="AA133" s="234">
        <f t="shared" si="44"/>
        <v>1</v>
      </c>
      <c r="AB133" s="234">
        <f t="shared" si="44"/>
        <v>40000</v>
      </c>
      <c r="AC133" s="234">
        <f t="shared" si="44"/>
        <v>0</v>
      </c>
      <c r="AD133" s="234">
        <f t="shared" si="44"/>
        <v>0</v>
      </c>
    </row>
    <row r="134" spans="1:30" s="38" customFormat="1" x14ac:dyDescent="0.2">
      <c r="A134" s="210" t="s">
        <v>11</v>
      </c>
      <c r="B134" s="211" t="s">
        <v>153</v>
      </c>
      <c r="C134" s="177"/>
      <c r="D134" s="178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9"/>
    </row>
    <row r="135" spans="1:30" s="38" customFormat="1" ht="25.5" x14ac:dyDescent="0.25">
      <c r="A135" s="25"/>
      <c r="B135" s="205" t="s">
        <v>163</v>
      </c>
      <c r="C135" s="64">
        <f t="shared" ref="C135:F135" si="45">G135+K135+O135+S135+W135+AA135</f>
        <v>51</v>
      </c>
      <c r="D135" s="64">
        <f t="shared" si="45"/>
        <v>150200</v>
      </c>
      <c r="E135" s="64">
        <f t="shared" si="45"/>
        <v>0</v>
      </c>
      <c r="F135" s="64">
        <f t="shared" si="45"/>
        <v>0</v>
      </c>
      <c r="G135" s="54"/>
      <c r="H135" s="119"/>
      <c r="I135" s="54"/>
      <c r="J135" s="54"/>
      <c r="K135" s="47"/>
      <c r="L135" s="119"/>
      <c r="M135" s="54"/>
      <c r="N135" s="54"/>
      <c r="O135" s="54">
        <v>40</v>
      </c>
      <c r="P135" s="119">
        <v>11500</v>
      </c>
      <c r="Q135" s="54"/>
      <c r="R135" s="54"/>
      <c r="S135" s="54">
        <v>1</v>
      </c>
      <c r="T135" s="119">
        <v>100000</v>
      </c>
      <c r="U135" s="54"/>
      <c r="V135" s="54"/>
      <c r="W135" s="54">
        <v>10</v>
      </c>
      <c r="X135" s="119">
        <v>38700</v>
      </c>
      <c r="Y135" s="54"/>
      <c r="Z135" s="54"/>
      <c r="AA135" s="54"/>
      <c r="AB135" s="119"/>
      <c r="AC135" s="54"/>
      <c r="AD135" s="180"/>
    </row>
    <row r="136" spans="1:30" s="38" customFormat="1" x14ac:dyDescent="0.2">
      <c r="A136" s="25"/>
      <c r="B136" s="205" t="s">
        <v>164</v>
      </c>
      <c r="C136" s="64">
        <f t="shared" ref="C136:C165" si="46">G136+K136+O136+S136+W136+AA136</f>
        <v>0</v>
      </c>
      <c r="D136" s="64">
        <f t="shared" ref="D136:D165" si="47">H136+L136+P136+T136+X136+AB136</f>
        <v>0</v>
      </c>
      <c r="E136" s="64">
        <f t="shared" ref="E136:E165" si="48">I136+M136+Q136+U136+Y136+AC136</f>
        <v>0</v>
      </c>
      <c r="F136" s="64">
        <f t="shared" ref="F136:F165" si="49">J136+N136+R136+V136+Z136+AD136</f>
        <v>0</v>
      </c>
      <c r="G136" s="54"/>
      <c r="H136" s="119"/>
      <c r="I136" s="54"/>
      <c r="J136" s="54"/>
      <c r="K136" s="54"/>
      <c r="L136" s="119"/>
      <c r="M136" s="54"/>
      <c r="N136" s="54"/>
      <c r="O136" s="54"/>
      <c r="P136" s="119"/>
      <c r="Q136" s="54"/>
      <c r="R136" s="54"/>
      <c r="S136" s="54"/>
      <c r="T136" s="119"/>
      <c r="U136" s="54"/>
      <c r="V136" s="54"/>
      <c r="W136" s="54"/>
      <c r="X136" s="119"/>
      <c r="Y136" s="54"/>
      <c r="Z136" s="54"/>
      <c r="AA136" s="54"/>
      <c r="AB136" s="119"/>
      <c r="AC136" s="54"/>
      <c r="AD136" s="180"/>
    </row>
    <row r="137" spans="1:30" s="38" customFormat="1" x14ac:dyDescent="0.2">
      <c r="A137" s="25"/>
      <c r="B137" s="205" t="s">
        <v>165</v>
      </c>
      <c r="C137" s="64">
        <f t="shared" si="46"/>
        <v>0</v>
      </c>
      <c r="D137" s="64">
        <f t="shared" si="47"/>
        <v>0</v>
      </c>
      <c r="E137" s="64">
        <f t="shared" si="48"/>
        <v>0</v>
      </c>
      <c r="F137" s="64">
        <f t="shared" si="49"/>
        <v>0</v>
      </c>
      <c r="G137" s="54"/>
      <c r="H137" s="119"/>
      <c r="I137" s="54"/>
      <c r="J137" s="54"/>
      <c r="K137" s="54"/>
      <c r="L137" s="119"/>
      <c r="M137" s="54"/>
      <c r="N137" s="54"/>
      <c r="O137" s="54"/>
      <c r="P137" s="119"/>
      <c r="Q137" s="54"/>
      <c r="R137" s="54"/>
      <c r="S137" s="54"/>
      <c r="T137" s="119"/>
      <c r="U137" s="54"/>
      <c r="V137" s="54"/>
      <c r="W137" s="54"/>
      <c r="X137" s="119"/>
      <c r="Y137" s="54"/>
      <c r="Z137" s="54"/>
      <c r="AA137" s="54"/>
      <c r="AB137" s="119"/>
      <c r="AC137" s="54"/>
      <c r="AD137" s="180"/>
    </row>
    <row r="138" spans="1:30" s="38" customFormat="1" ht="15" x14ac:dyDescent="0.25">
      <c r="A138" s="25"/>
      <c r="B138" s="205" t="s">
        <v>166</v>
      </c>
      <c r="C138" s="64">
        <f t="shared" si="46"/>
        <v>108</v>
      </c>
      <c r="D138" s="64">
        <f t="shared" si="47"/>
        <v>787100</v>
      </c>
      <c r="E138" s="64">
        <f t="shared" si="48"/>
        <v>0</v>
      </c>
      <c r="F138" s="64">
        <f t="shared" si="49"/>
        <v>0</v>
      </c>
      <c r="G138" s="54">
        <v>6</v>
      </c>
      <c r="H138" s="119">
        <v>19000</v>
      </c>
      <c r="I138" s="54"/>
      <c r="J138" s="54"/>
      <c r="K138" s="47">
        <v>28</v>
      </c>
      <c r="L138" s="119">
        <v>58500</v>
      </c>
      <c r="M138" s="54"/>
      <c r="N138" s="54"/>
      <c r="O138" s="47">
        <v>40</v>
      </c>
      <c r="P138" s="47">
        <v>131500</v>
      </c>
      <c r="Q138" s="54"/>
      <c r="R138" s="54"/>
      <c r="S138" s="47">
        <v>1</v>
      </c>
      <c r="T138" s="119">
        <v>480000</v>
      </c>
      <c r="U138" s="54"/>
      <c r="V138" s="54"/>
      <c r="W138" s="47">
        <v>23</v>
      </c>
      <c r="X138" s="119">
        <v>80500</v>
      </c>
      <c r="Y138" s="54"/>
      <c r="Z138" s="54"/>
      <c r="AA138" s="54">
        <v>10</v>
      </c>
      <c r="AB138" s="119">
        <v>17600</v>
      </c>
      <c r="AC138" s="54"/>
      <c r="AD138" s="180"/>
    </row>
    <row r="139" spans="1:30" s="38" customFormat="1" ht="25.5" x14ac:dyDescent="0.2">
      <c r="A139" s="25"/>
      <c r="B139" s="205" t="s">
        <v>167</v>
      </c>
      <c r="C139" s="64">
        <f t="shared" si="46"/>
        <v>0</v>
      </c>
      <c r="D139" s="64">
        <f t="shared" si="47"/>
        <v>0</v>
      </c>
      <c r="E139" s="64">
        <f t="shared" si="48"/>
        <v>0</v>
      </c>
      <c r="F139" s="64">
        <f t="shared" si="49"/>
        <v>0</v>
      </c>
      <c r="G139" s="54"/>
      <c r="H139" s="119"/>
      <c r="I139" s="54"/>
      <c r="J139" s="54"/>
      <c r="K139" s="54"/>
      <c r="L139" s="119"/>
      <c r="M139" s="54"/>
      <c r="N139" s="54"/>
      <c r="O139" s="54"/>
      <c r="P139" s="119"/>
      <c r="Q139" s="54"/>
      <c r="R139" s="54"/>
      <c r="S139" s="54"/>
      <c r="T139" s="119"/>
      <c r="U139" s="54"/>
      <c r="V139" s="54"/>
      <c r="W139" s="54"/>
      <c r="X139" s="119"/>
      <c r="Y139" s="54"/>
      <c r="Z139" s="54"/>
      <c r="AA139" s="54"/>
      <c r="AB139" s="119"/>
      <c r="AC139" s="54"/>
      <c r="AD139" s="180"/>
    </row>
    <row r="140" spans="1:30" s="38" customFormat="1" x14ac:dyDescent="0.2">
      <c r="A140" s="25"/>
      <c r="B140" s="40" t="s">
        <v>168</v>
      </c>
      <c r="C140" s="64">
        <f t="shared" si="46"/>
        <v>1</v>
      </c>
      <c r="D140" s="64">
        <f t="shared" si="47"/>
        <v>200000</v>
      </c>
      <c r="E140" s="64">
        <f t="shared" si="48"/>
        <v>0</v>
      </c>
      <c r="F140" s="64">
        <f t="shared" si="49"/>
        <v>0</v>
      </c>
      <c r="G140" s="54"/>
      <c r="H140" s="119"/>
      <c r="I140" s="54"/>
      <c r="J140" s="54"/>
      <c r="K140" s="54">
        <v>1</v>
      </c>
      <c r="L140" s="119">
        <v>200000</v>
      </c>
      <c r="M140" s="54"/>
      <c r="N140" s="54"/>
      <c r="O140" s="54"/>
      <c r="P140" s="119"/>
      <c r="Q140" s="54"/>
      <c r="R140" s="54"/>
      <c r="S140" s="54"/>
      <c r="T140" s="119"/>
      <c r="U140" s="54"/>
      <c r="V140" s="54"/>
      <c r="W140" s="54"/>
      <c r="X140" s="119"/>
      <c r="Y140" s="54"/>
      <c r="Z140" s="54"/>
      <c r="AA140" s="54"/>
      <c r="AB140" s="119"/>
      <c r="AC140" s="54"/>
      <c r="AD140" s="180"/>
    </row>
    <row r="141" spans="1:30" s="38" customFormat="1" ht="15" x14ac:dyDescent="0.25">
      <c r="A141" s="25"/>
      <c r="B141" s="40" t="s">
        <v>169</v>
      </c>
      <c r="C141" s="64">
        <f t="shared" si="46"/>
        <v>1</v>
      </c>
      <c r="D141" s="64">
        <f t="shared" si="47"/>
        <v>160000</v>
      </c>
      <c r="E141" s="64">
        <f t="shared" si="48"/>
        <v>0</v>
      </c>
      <c r="F141" s="64">
        <f t="shared" si="49"/>
        <v>0</v>
      </c>
      <c r="G141" s="54"/>
      <c r="H141" s="119"/>
      <c r="I141" s="54"/>
      <c r="J141" s="54"/>
      <c r="K141" s="47"/>
      <c r="L141" s="119"/>
      <c r="M141" s="54"/>
      <c r="N141" s="54"/>
      <c r="O141" s="54"/>
      <c r="P141" s="119"/>
      <c r="Q141" s="54"/>
      <c r="R141" s="54"/>
      <c r="S141" s="47">
        <v>1</v>
      </c>
      <c r="T141" s="119">
        <v>160000</v>
      </c>
      <c r="U141" s="54"/>
      <c r="V141" s="54"/>
      <c r="W141" s="54"/>
      <c r="X141" s="119"/>
      <c r="Y141" s="54"/>
      <c r="Z141" s="54"/>
      <c r="AA141" s="54"/>
      <c r="AB141" s="119"/>
      <c r="AC141" s="54"/>
      <c r="AD141" s="180"/>
    </row>
    <row r="142" spans="1:30" s="38" customFormat="1" ht="15" x14ac:dyDescent="0.25">
      <c r="A142" s="25"/>
      <c r="B142" s="40" t="s">
        <v>170</v>
      </c>
      <c r="C142" s="64">
        <f t="shared" si="46"/>
        <v>1</v>
      </c>
      <c r="D142" s="64">
        <f t="shared" si="47"/>
        <v>15000</v>
      </c>
      <c r="E142" s="64">
        <f t="shared" si="48"/>
        <v>0</v>
      </c>
      <c r="F142" s="64">
        <f t="shared" si="49"/>
        <v>0</v>
      </c>
      <c r="G142" s="54">
        <v>1</v>
      </c>
      <c r="H142" s="119">
        <v>15000</v>
      </c>
      <c r="I142" s="54"/>
      <c r="J142" s="54"/>
      <c r="K142" s="54"/>
      <c r="L142" s="119"/>
      <c r="M142" s="54"/>
      <c r="N142" s="54"/>
      <c r="O142" s="54"/>
      <c r="P142" s="119"/>
      <c r="Q142" s="54"/>
      <c r="R142" s="54"/>
      <c r="S142" s="54"/>
      <c r="T142" s="119"/>
      <c r="U142" s="54"/>
      <c r="V142" s="54"/>
      <c r="W142" s="54"/>
      <c r="X142" s="119"/>
      <c r="Y142" s="54"/>
      <c r="Z142" s="54"/>
      <c r="AA142" s="47"/>
      <c r="AB142" s="119"/>
      <c r="AC142" s="54"/>
      <c r="AD142" s="180"/>
    </row>
    <row r="143" spans="1:30" s="38" customFormat="1" ht="15" x14ac:dyDescent="0.25">
      <c r="A143" s="25"/>
      <c r="B143" s="40" t="s">
        <v>277</v>
      </c>
      <c r="C143" s="64"/>
      <c r="D143" s="64"/>
      <c r="E143" s="64"/>
      <c r="F143" s="64"/>
      <c r="G143" s="54"/>
      <c r="H143" s="119"/>
      <c r="I143" s="54"/>
      <c r="J143" s="54"/>
      <c r="K143" s="54"/>
      <c r="L143" s="119"/>
      <c r="M143" s="54"/>
      <c r="N143" s="54"/>
      <c r="O143" s="54"/>
      <c r="P143" s="119"/>
      <c r="Q143" s="54"/>
      <c r="R143" s="54"/>
      <c r="S143" s="54"/>
      <c r="T143" s="119"/>
      <c r="U143" s="54"/>
      <c r="V143" s="54"/>
      <c r="W143" s="54"/>
      <c r="X143" s="119"/>
      <c r="Y143" s="54"/>
      <c r="Z143" s="54"/>
      <c r="AA143" s="47"/>
      <c r="AB143" s="119"/>
      <c r="AC143" s="54"/>
      <c r="AD143" s="180"/>
    </row>
    <row r="144" spans="1:30" s="38" customFormat="1" ht="15" x14ac:dyDescent="0.25">
      <c r="A144" s="25"/>
      <c r="B144" s="40" t="s">
        <v>278</v>
      </c>
      <c r="C144" s="64"/>
      <c r="D144" s="64"/>
      <c r="E144" s="64"/>
      <c r="F144" s="64"/>
      <c r="G144" s="54"/>
      <c r="H144" s="119"/>
      <c r="I144" s="54"/>
      <c r="J144" s="54"/>
      <c r="K144" s="54"/>
      <c r="L144" s="119"/>
      <c r="M144" s="54"/>
      <c r="N144" s="54"/>
      <c r="O144" s="54"/>
      <c r="P144" s="119"/>
      <c r="Q144" s="54"/>
      <c r="R144" s="54"/>
      <c r="S144" s="54"/>
      <c r="T144" s="119"/>
      <c r="U144" s="54"/>
      <c r="V144" s="54"/>
      <c r="W144" s="54"/>
      <c r="X144" s="119"/>
      <c r="Y144" s="54"/>
      <c r="Z144" s="54"/>
      <c r="AA144" s="47"/>
      <c r="AB144" s="119"/>
      <c r="AC144" s="54"/>
      <c r="AD144" s="180"/>
    </row>
    <row r="145" spans="1:30" s="38" customFormat="1" x14ac:dyDescent="0.2">
      <c r="A145" s="25"/>
      <c r="B145" s="40" t="s">
        <v>171</v>
      </c>
      <c r="C145" s="64">
        <f t="shared" si="46"/>
        <v>0</v>
      </c>
      <c r="D145" s="64">
        <f t="shared" si="47"/>
        <v>0</v>
      </c>
      <c r="E145" s="64">
        <f t="shared" si="48"/>
        <v>0</v>
      </c>
      <c r="F145" s="64">
        <f t="shared" si="49"/>
        <v>0</v>
      </c>
      <c r="G145" s="54"/>
      <c r="H145" s="119"/>
      <c r="I145" s="54"/>
      <c r="J145" s="54"/>
      <c r="K145" s="54"/>
      <c r="L145" s="119"/>
      <c r="M145" s="54"/>
      <c r="N145" s="54"/>
      <c r="O145" s="54"/>
      <c r="P145" s="119"/>
      <c r="Q145" s="54"/>
      <c r="R145" s="54"/>
      <c r="S145" s="54"/>
      <c r="T145" s="119"/>
      <c r="U145" s="54"/>
      <c r="V145" s="54"/>
      <c r="W145" s="54"/>
      <c r="X145" s="119"/>
      <c r="Y145" s="54"/>
      <c r="Z145" s="54"/>
      <c r="AA145" s="54"/>
      <c r="AB145" s="119"/>
      <c r="AC145" s="54"/>
      <c r="AD145" s="180"/>
    </row>
    <row r="146" spans="1:30" s="38" customFormat="1" x14ac:dyDescent="0.2">
      <c r="A146" s="25"/>
      <c r="B146" s="24" t="s">
        <v>172</v>
      </c>
      <c r="C146" s="64">
        <f t="shared" si="46"/>
        <v>0</v>
      </c>
      <c r="D146" s="64">
        <f t="shared" si="47"/>
        <v>0</v>
      </c>
      <c r="E146" s="64">
        <f t="shared" si="48"/>
        <v>0</v>
      </c>
      <c r="F146" s="64">
        <f t="shared" si="49"/>
        <v>0</v>
      </c>
      <c r="G146" s="54"/>
      <c r="H146" s="119"/>
      <c r="I146" s="54"/>
      <c r="J146" s="54"/>
      <c r="K146" s="54"/>
      <c r="L146" s="119"/>
      <c r="M146" s="54"/>
      <c r="N146" s="54"/>
      <c r="O146" s="54"/>
      <c r="P146" s="119"/>
      <c r="Q146" s="54"/>
      <c r="R146" s="54"/>
      <c r="S146" s="54"/>
      <c r="T146" s="119"/>
      <c r="U146" s="54"/>
      <c r="V146" s="54"/>
      <c r="W146" s="54"/>
      <c r="X146" s="119"/>
      <c r="Y146" s="54"/>
      <c r="Z146" s="54"/>
      <c r="AA146" s="54"/>
      <c r="AB146" s="119"/>
      <c r="AC146" s="54"/>
      <c r="AD146" s="180"/>
    </row>
    <row r="147" spans="1:30" s="38" customFormat="1" x14ac:dyDescent="0.2">
      <c r="A147" s="25"/>
      <c r="B147" s="40" t="s">
        <v>173</v>
      </c>
      <c r="C147" s="64">
        <f t="shared" si="46"/>
        <v>10</v>
      </c>
      <c r="D147" s="64">
        <f t="shared" si="47"/>
        <v>30000</v>
      </c>
      <c r="E147" s="64">
        <f t="shared" si="48"/>
        <v>0</v>
      </c>
      <c r="F147" s="64">
        <f t="shared" si="49"/>
        <v>0</v>
      </c>
      <c r="G147" s="54"/>
      <c r="H147" s="119"/>
      <c r="I147" s="54"/>
      <c r="J147" s="54"/>
      <c r="K147" s="54"/>
      <c r="L147" s="119"/>
      <c r="M147" s="54"/>
      <c r="N147" s="54"/>
      <c r="O147" s="54"/>
      <c r="P147" s="119"/>
      <c r="Q147" s="54"/>
      <c r="R147" s="54"/>
      <c r="S147" s="54"/>
      <c r="T147" s="119"/>
      <c r="U147" s="54"/>
      <c r="V147" s="54"/>
      <c r="W147" s="54">
        <v>10</v>
      </c>
      <c r="X147" s="119">
        <v>30000</v>
      </c>
      <c r="Y147" s="54"/>
      <c r="Z147" s="54"/>
      <c r="AA147" s="54"/>
      <c r="AB147" s="119"/>
      <c r="AC147" s="54"/>
      <c r="AD147" s="180"/>
    </row>
    <row r="148" spans="1:30" s="38" customFormat="1" ht="15" x14ac:dyDescent="0.25">
      <c r="A148" s="25"/>
      <c r="B148" s="40" t="s">
        <v>174</v>
      </c>
      <c r="C148" s="64">
        <f t="shared" si="46"/>
        <v>0</v>
      </c>
      <c r="D148" s="64">
        <f t="shared" si="47"/>
        <v>0</v>
      </c>
      <c r="E148" s="64">
        <f t="shared" si="48"/>
        <v>0</v>
      </c>
      <c r="F148" s="64">
        <f t="shared" si="49"/>
        <v>0</v>
      </c>
      <c r="G148" s="54"/>
      <c r="H148" s="119"/>
      <c r="I148" s="54"/>
      <c r="J148" s="54"/>
      <c r="K148" s="47"/>
      <c r="L148" s="119"/>
      <c r="M148" s="54"/>
      <c r="N148" s="54"/>
      <c r="O148" s="54"/>
      <c r="P148" s="119"/>
      <c r="Q148" s="54"/>
      <c r="R148" s="54"/>
      <c r="S148" s="54"/>
      <c r="T148" s="119"/>
      <c r="U148" s="54"/>
      <c r="V148" s="54"/>
      <c r="W148" s="54"/>
      <c r="X148" s="119"/>
      <c r="Y148" s="54"/>
      <c r="Z148" s="54"/>
      <c r="AA148" s="54"/>
      <c r="AB148" s="119"/>
      <c r="AC148" s="54"/>
      <c r="AD148" s="180"/>
    </row>
    <row r="149" spans="1:30" s="38" customFormat="1" ht="15" x14ac:dyDescent="0.25">
      <c r="A149" s="25"/>
      <c r="B149" s="40" t="s">
        <v>175</v>
      </c>
      <c r="C149" s="64">
        <f t="shared" ref="C149:F151" si="50">G149+K149+O149+S149+W149+AA149</f>
        <v>1</v>
      </c>
      <c r="D149" s="64">
        <f t="shared" si="50"/>
        <v>100000</v>
      </c>
      <c r="E149" s="64">
        <f t="shared" si="50"/>
        <v>0</v>
      </c>
      <c r="F149" s="64">
        <f t="shared" si="50"/>
        <v>0</v>
      </c>
      <c r="G149" s="54"/>
      <c r="H149" s="119"/>
      <c r="I149" s="54"/>
      <c r="J149" s="54"/>
      <c r="K149" s="47"/>
      <c r="L149" s="119"/>
      <c r="M149" s="54"/>
      <c r="N149" s="54"/>
      <c r="O149" s="54"/>
      <c r="P149" s="119"/>
      <c r="Q149" s="54"/>
      <c r="R149" s="54"/>
      <c r="S149" s="47">
        <v>1</v>
      </c>
      <c r="T149" s="119">
        <v>100000</v>
      </c>
      <c r="U149" s="54"/>
      <c r="V149" s="54"/>
      <c r="W149" s="54"/>
      <c r="X149" s="119"/>
      <c r="Y149" s="54"/>
      <c r="Z149" s="54"/>
      <c r="AA149" s="54"/>
      <c r="AB149" s="119"/>
      <c r="AC149" s="54"/>
      <c r="AD149" s="180"/>
    </row>
    <row r="150" spans="1:30" s="38" customFormat="1" ht="27.75" customHeight="1" x14ac:dyDescent="0.2">
      <c r="A150" s="25"/>
      <c r="B150" s="40" t="s">
        <v>176</v>
      </c>
      <c r="C150" s="64">
        <f t="shared" si="50"/>
        <v>0</v>
      </c>
      <c r="D150" s="64">
        <f t="shared" si="50"/>
        <v>0</v>
      </c>
      <c r="E150" s="64">
        <f t="shared" si="50"/>
        <v>0</v>
      </c>
      <c r="F150" s="64">
        <f t="shared" si="50"/>
        <v>0</v>
      </c>
      <c r="G150" s="54"/>
      <c r="H150" s="119"/>
      <c r="I150" s="54"/>
      <c r="J150" s="54"/>
      <c r="K150" s="54"/>
      <c r="L150" s="119"/>
      <c r="M150" s="54"/>
      <c r="N150" s="54"/>
      <c r="O150" s="54"/>
      <c r="P150" s="119"/>
      <c r="Q150" s="54"/>
      <c r="R150" s="54"/>
      <c r="S150" s="54"/>
      <c r="T150" s="119"/>
      <c r="U150" s="54"/>
      <c r="V150" s="54"/>
      <c r="W150" s="54"/>
      <c r="X150" s="119"/>
      <c r="Y150" s="54"/>
      <c r="Z150" s="54"/>
      <c r="AA150" s="54"/>
      <c r="AB150" s="119"/>
      <c r="AC150" s="54"/>
      <c r="AD150" s="180"/>
    </row>
    <row r="151" spans="1:30" s="38" customFormat="1" x14ac:dyDescent="0.2">
      <c r="A151" s="25"/>
      <c r="B151" s="321" t="s">
        <v>177</v>
      </c>
      <c r="C151" s="64">
        <f t="shared" si="50"/>
        <v>0</v>
      </c>
      <c r="D151" s="64">
        <f t="shared" si="50"/>
        <v>0</v>
      </c>
      <c r="E151" s="64">
        <f t="shared" si="50"/>
        <v>0</v>
      </c>
      <c r="F151" s="64">
        <f t="shared" si="50"/>
        <v>0</v>
      </c>
      <c r="G151" s="54"/>
      <c r="H151" s="119"/>
      <c r="I151" s="54"/>
      <c r="J151" s="54"/>
      <c r="K151" s="54"/>
      <c r="L151" s="119"/>
      <c r="M151" s="54"/>
      <c r="N151" s="54"/>
      <c r="O151" s="54"/>
      <c r="P151" s="119"/>
      <c r="Q151" s="54"/>
      <c r="R151" s="54"/>
      <c r="S151" s="54"/>
      <c r="T151" s="119"/>
      <c r="U151" s="54"/>
      <c r="V151" s="54"/>
      <c r="W151" s="54"/>
      <c r="X151" s="119"/>
      <c r="Y151" s="54"/>
      <c r="Z151" s="54"/>
      <c r="AA151" s="54"/>
      <c r="AB151" s="119"/>
      <c r="AC151" s="54"/>
      <c r="AD151" s="180"/>
    </row>
    <row r="152" spans="1:30" s="38" customFormat="1" ht="25.5" x14ac:dyDescent="0.2">
      <c r="A152" s="25"/>
      <c r="B152" s="144" t="s">
        <v>178</v>
      </c>
      <c r="C152" s="64"/>
      <c r="D152" s="64"/>
      <c r="E152" s="64"/>
      <c r="F152" s="64"/>
      <c r="G152" s="54"/>
      <c r="H152" s="119"/>
      <c r="I152" s="54"/>
      <c r="J152" s="54"/>
      <c r="K152" s="54"/>
      <c r="L152" s="119"/>
      <c r="M152" s="54"/>
      <c r="N152" s="54"/>
      <c r="O152" s="54"/>
      <c r="P152" s="119"/>
      <c r="Q152" s="54"/>
      <c r="R152" s="54"/>
      <c r="S152" s="54"/>
      <c r="T152" s="119"/>
      <c r="U152" s="54"/>
      <c r="V152" s="54"/>
      <c r="W152" s="54"/>
      <c r="X152" s="119"/>
      <c r="Y152" s="54"/>
      <c r="Z152" s="54"/>
      <c r="AA152" s="54"/>
      <c r="AB152" s="119"/>
      <c r="AC152" s="54"/>
      <c r="AD152" s="180"/>
    </row>
    <row r="153" spans="1:30" s="38" customFormat="1" x14ac:dyDescent="0.2">
      <c r="A153" s="25"/>
      <c r="B153" s="319" t="s">
        <v>179</v>
      </c>
      <c r="C153" s="64">
        <f t="shared" ref="C153:F154" si="51">G153+K153+O153+S153+W153+AA153</f>
        <v>0</v>
      </c>
      <c r="D153" s="64">
        <f t="shared" si="51"/>
        <v>0</v>
      </c>
      <c r="E153" s="64">
        <f t="shared" si="51"/>
        <v>0</v>
      </c>
      <c r="F153" s="64">
        <f t="shared" si="51"/>
        <v>0</v>
      </c>
      <c r="G153" s="54"/>
      <c r="H153" s="119"/>
      <c r="I153" s="54"/>
      <c r="J153" s="54"/>
      <c r="K153" s="54"/>
      <c r="L153" s="119"/>
      <c r="M153" s="54"/>
      <c r="N153" s="54"/>
      <c r="O153" s="54"/>
      <c r="P153" s="119"/>
      <c r="Q153" s="54"/>
      <c r="R153" s="54"/>
      <c r="S153" s="54"/>
      <c r="T153" s="119"/>
      <c r="U153" s="54"/>
      <c r="V153" s="54"/>
      <c r="W153" s="54"/>
      <c r="X153" s="119"/>
      <c r="Y153" s="54"/>
      <c r="Z153" s="54"/>
      <c r="AA153" s="54"/>
      <c r="AB153" s="119"/>
      <c r="AC153" s="54"/>
      <c r="AD153" s="180"/>
    </row>
    <row r="154" spans="1:30" s="38" customFormat="1" ht="25.5" x14ac:dyDescent="0.2">
      <c r="A154" s="25"/>
      <c r="B154" s="24" t="s">
        <v>180</v>
      </c>
      <c r="C154" s="64">
        <f t="shared" si="51"/>
        <v>0</v>
      </c>
      <c r="D154" s="64">
        <f t="shared" si="51"/>
        <v>0</v>
      </c>
      <c r="E154" s="64">
        <f t="shared" si="51"/>
        <v>0</v>
      </c>
      <c r="F154" s="64">
        <f t="shared" si="51"/>
        <v>0</v>
      </c>
      <c r="G154" s="54"/>
      <c r="H154" s="119"/>
      <c r="I154" s="54"/>
      <c r="J154" s="54"/>
      <c r="K154" s="54"/>
      <c r="L154" s="119"/>
      <c r="M154" s="54"/>
      <c r="N154" s="54"/>
      <c r="O154" s="54"/>
      <c r="P154" s="119"/>
      <c r="Q154" s="54"/>
      <c r="R154" s="54"/>
      <c r="S154" s="54"/>
      <c r="T154" s="119"/>
      <c r="U154" s="54"/>
      <c r="V154" s="54"/>
      <c r="W154" s="54"/>
      <c r="X154" s="119"/>
      <c r="Y154" s="54"/>
      <c r="Z154" s="54"/>
      <c r="AA154" s="54"/>
      <c r="AB154" s="119"/>
      <c r="AC154" s="54"/>
      <c r="AD154" s="180"/>
    </row>
    <row r="155" spans="1:30" s="38" customFormat="1" x14ac:dyDescent="0.2">
      <c r="A155" s="25"/>
      <c r="B155" s="24" t="s">
        <v>181</v>
      </c>
      <c r="C155" s="64"/>
      <c r="D155" s="64"/>
      <c r="E155" s="64"/>
      <c r="F155" s="64"/>
      <c r="G155" s="54"/>
      <c r="H155" s="119"/>
      <c r="I155" s="54"/>
      <c r="J155" s="54"/>
      <c r="K155" s="54"/>
      <c r="L155" s="119"/>
      <c r="M155" s="54"/>
      <c r="N155" s="54"/>
      <c r="O155" s="54"/>
      <c r="P155" s="119"/>
      <c r="Q155" s="54"/>
      <c r="R155" s="54"/>
      <c r="S155" s="54"/>
      <c r="T155" s="119"/>
      <c r="U155" s="54"/>
      <c r="V155" s="54"/>
      <c r="W155" s="54"/>
      <c r="X155" s="119"/>
      <c r="Y155" s="54"/>
      <c r="Z155" s="54"/>
      <c r="AA155" s="54"/>
      <c r="AB155" s="119"/>
      <c r="AC155" s="54"/>
      <c r="AD155" s="180"/>
    </row>
    <row r="156" spans="1:30" s="38" customFormat="1" ht="25.5" x14ac:dyDescent="0.2">
      <c r="A156" s="25"/>
      <c r="B156" s="24" t="s">
        <v>182</v>
      </c>
      <c r="C156" s="64">
        <f>G156+K156+O156+S156+W156+AA156</f>
        <v>0</v>
      </c>
      <c r="D156" s="64">
        <f>H156+L156+P156+T156+X156+AB156</f>
        <v>0</v>
      </c>
      <c r="E156" s="64">
        <f>I156+M156+Q156+U156+Y156+AC156</f>
        <v>0</v>
      </c>
      <c r="F156" s="64">
        <f>J156+N156+R156+V156+Z156+AD156</f>
        <v>0</v>
      </c>
      <c r="G156" s="54"/>
      <c r="H156" s="119"/>
      <c r="I156" s="54"/>
      <c r="J156" s="54"/>
      <c r="K156" s="54"/>
      <c r="L156" s="119"/>
      <c r="M156" s="54"/>
      <c r="N156" s="54"/>
      <c r="O156" s="54"/>
      <c r="P156" s="119"/>
      <c r="Q156" s="54"/>
      <c r="R156" s="54"/>
      <c r="S156" s="54"/>
      <c r="T156" s="119"/>
      <c r="U156" s="54"/>
      <c r="V156" s="54"/>
      <c r="W156" s="54"/>
      <c r="X156" s="119"/>
      <c r="Y156" s="54"/>
      <c r="Z156" s="54"/>
      <c r="AA156" s="54"/>
      <c r="AB156" s="119"/>
      <c r="AC156" s="54"/>
      <c r="AD156" s="180"/>
    </row>
    <row r="157" spans="1:30" s="38" customFormat="1" x14ac:dyDescent="0.2">
      <c r="A157" s="25"/>
      <c r="B157" s="24" t="s">
        <v>183</v>
      </c>
      <c r="C157" s="64">
        <f t="shared" ref="C157:C162" si="52">G157+K157+O157+S157+W157+AA157</f>
        <v>0</v>
      </c>
      <c r="D157" s="64">
        <f t="shared" ref="D157:F162" si="53">H157+L157+P157+T157+X157+AB157</f>
        <v>0</v>
      </c>
      <c r="E157" s="64">
        <f t="shared" si="53"/>
        <v>0</v>
      </c>
      <c r="F157" s="64">
        <f t="shared" si="53"/>
        <v>0</v>
      </c>
      <c r="G157" s="54"/>
      <c r="H157" s="119"/>
      <c r="I157" s="54"/>
      <c r="J157" s="54"/>
      <c r="K157" s="54"/>
      <c r="L157" s="119"/>
      <c r="M157" s="54"/>
      <c r="N157" s="54"/>
      <c r="O157" s="54"/>
      <c r="P157" s="119"/>
      <c r="Q157" s="54"/>
      <c r="R157" s="54"/>
      <c r="S157" s="54"/>
      <c r="T157" s="119"/>
      <c r="U157" s="54"/>
      <c r="V157" s="54"/>
      <c r="W157" s="54"/>
      <c r="X157" s="119"/>
      <c r="Y157" s="54"/>
      <c r="Z157" s="54"/>
      <c r="AA157" s="54"/>
      <c r="AB157" s="119"/>
      <c r="AC157" s="54"/>
      <c r="AD157" s="180"/>
    </row>
    <row r="158" spans="1:30" s="38" customFormat="1" ht="25.5" x14ac:dyDescent="0.2">
      <c r="A158" s="25"/>
      <c r="B158" s="24" t="s">
        <v>184</v>
      </c>
      <c r="C158" s="64">
        <f t="shared" si="52"/>
        <v>0</v>
      </c>
      <c r="D158" s="64">
        <f t="shared" si="53"/>
        <v>0</v>
      </c>
      <c r="E158" s="64">
        <f t="shared" si="53"/>
        <v>0</v>
      </c>
      <c r="F158" s="64">
        <f t="shared" si="53"/>
        <v>0</v>
      </c>
      <c r="G158" s="54"/>
      <c r="H158" s="119"/>
      <c r="I158" s="54"/>
      <c r="J158" s="54"/>
      <c r="K158" s="54"/>
      <c r="L158" s="119"/>
      <c r="M158" s="54"/>
      <c r="N158" s="54"/>
      <c r="O158" s="54"/>
      <c r="P158" s="119"/>
      <c r="Q158" s="54"/>
      <c r="R158" s="54"/>
      <c r="S158" s="54"/>
      <c r="T158" s="119"/>
      <c r="U158" s="54"/>
      <c r="V158" s="54"/>
      <c r="W158" s="54"/>
      <c r="X158" s="119"/>
      <c r="Y158" s="54"/>
      <c r="Z158" s="54"/>
      <c r="AA158" s="54"/>
      <c r="AB158" s="119"/>
      <c r="AC158" s="54"/>
      <c r="AD158" s="180"/>
    </row>
    <row r="159" spans="1:30" s="38" customFormat="1" ht="25.5" x14ac:dyDescent="0.2">
      <c r="A159" s="25"/>
      <c r="B159" s="24" t="s">
        <v>185</v>
      </c>
      <c r="C159" s="64">
        <f t="shared" si="52"/>
        <v>0</v>
      </c>
      <c r="D159" s="64">
        <f t="shared" si="53"/>
        <v>0</v>
      </c>
      <c r="E159" s="64">
        <f t="shared" si="53"/>
        <v>0</v>
      </c>
      <c r="F159" s="64">
        <f t="shared" si="53"/>
        <v>0</v>
      </c>
      <c r="G159" s="54"/>
      <c r="H159" s="119"/>
      <c r="I159" s="54"/>
      <c r="J159" s="54"/>
      <c r="K159" s="54"/>
      <c r="L159" s="119"/>
      <c r="M159" s="54"/>
      <c r="N159" s="54"/>
      <c r="O159" s="54"/>
      <c r="P159" s="119"/>
      <c r="Q159" s="54"/>
      <c r="R159" s="54"/>
      <c r="S159" s="54"/>
      <c r="T159" s="119"/>
      <c r="U159" s="54"/>
      <c r="V159" s="54"/>
      <c r="W159" s="54"/>
      <c r="X159" s="119"/>
      <c r="Y159" s="54"/>
      <c r="Z159" s="54"/>
      <c r="AA159" s="54"/>
      <c r="AB159" s="119"/>
      <c r="AC159" s="54"/>
      <c r="AD159" s="180"/>
    </row>
    <row r="160" spans="1:30" s="38" customFormat="1" x14ac:dyDescent="0.2">
      <c r="A160" s="25"/>
      <c r="B160" s="319" t="s">
        <v>186</v>
      </c>
      <c r="C160" s="64">
        <f t="shared" si="52"/>
        <v>0</v>
      </c>
      <c r="D160" s="64">
        <f t="shared" si="53"/>
        <v>0</v>
      </c>
      <c r="E160" s="64">
        <f t="shared" si="53"/>
        <v>0</v>
      </c>
      <c r="F160" s="64">
        <f t="shared" si="53"/>
        <v>0</v>
      </c>
      <c r="G160" s="54"/>
      <c r="H160" s="119"/>
      <c r="I160" s="54"/>
      <c r="J160" s="54"/>
      <c r="K160" s="54"/>
      <c r="L160" s="119"/>
      <c r="M160" s="54"/>
      <c r="N160" s="54"/>
      <c r="O160" s="54"/>
      <c r="P160" s="119"/>
      <c r="Q160" s="54"/>
      <c r="R160" s="54"/>
      <c r="S160" s="54"/>
      <c r="T160" s="119"/>
      <c r="U160" s="54"/>
      <c r="V160" s="54"/>
      <c r="W160" s="54"/>
      <c r="X160" s="119"/>
      <c r="Y160" s="54"/>
      <c r="Z160" s="54"/>
      <c r="AA160" s="54"/>
      <c r="AB160" s="119"/>
      <c r="AC160" s="54"/>
      <c r="AD160" s="180"/>
    </row>
    <row r="161" spans="1:30" s="38" customFormat="1" ht="25.5" x14ac:dyDescent="0.2">
      <c r="A161" s="25"/>
      <c r="B161" s="24" t="s">
        <v>187</v>
      </c>
      <c r="C161" s="64">
        <f t="shared" si="52"/>
        <v>0</v>
      </c>
      <c r="D161" s="64">
        <f t="shared" si="53"/>
        <v>0</v>
      </c>
      <c r="E161" s="64">
        <f t="shared" si="53"/>
        <v>0</v>
      </c>
      <c r="F161" s="64">
        <f t="shared" si="53"/>
        <v>0</v>
      </c>
      <c r="G161" s="54"/>
      <c r="H161" s="119"/>
      <c r="I161" s="54"/>
      <c r="J161" s="54"/>
      <c r="K161" s="54"/>
      <c r="L161" s="119"/>
      <c r="M161" s="54"/>
      <c r="N161" s="54"/>
      <c r="O161" s="54"/>
      <c r="P161" s="119"/>
      <c r="Q161" s="54"/>
      <c r="R161" s="54"/>
      <c r="S161" s="54"/>
      <c r="T161" s="119"/>
      <c r="U161" s="54"/>
      <c r="V161" s="54"/>
      <c r="W161" s="54"/>
      <c r="X161" s="119"/>
      <c r="Y161" s="54"/>
      <c r="Z161" s="54"/>
      <c r="AA161" s="54"/>
      <c r="AB161" s="119"/>
      <c r="AC161" s="54"/>
      <c r="AD161" s="180"/>
    </row>
    <row r="162" spans="1:30" s="38" customFormat="1" ht="25.5" x14ac:dyDescent="0.2">
      <c r="A162" s="25"/>
      <c r="B162" s="24" t="s">
        <v>188</v>
      </c>
      <c r="C162" s="64">
        <f t="shared" si="52"/>
        <v>0</v>
      </c>
      <c r="D162" s="64">
        <f t="shared" si="53"/>
        <v>0</v>
      </c>
      <c r="E162" s="64">
        <f t="shared" si="53"/>
        <v>0</v>
      </c>
      <c r="F162" s="64">
        <f t="shared" si="53"/>
        <v>0</v>
      </c>
      <c r="G162" s="54"/>
      <c r="H162" s="119"/>
      <c r="I162" s="54"/>
      <c r="J162" s="54"/>
      <c r="K162" s="54"/>
      <c r="L162" s="119"/>
      <c r="M162" s="54"/>
      <c r="N162" s="54"/>
      <c r="O162" s="54"/>
      <c r="P162" s="119"/>
      <c r="Q162" s="54"/>
      <c r="R162" s="54"/>
      <c r="S162" s="54"/>
      <c r="T162" s="119"/>
      <c r="U162" s="54"/>
      <c r="V162" s="54"/>
      <c r="W162" s="54"/>
      <c r="X162" s="119"/>
      <c r="Y162" s="54"/>
      <c r="Z162" s="54"/>
      <c r="AA162" s="54"/>
      <c r="AB162" s="119"/>
      <c r="AC162" s="54"/>
      <c r="AD162" s="180"/>
    </row>
    <row r="163" spans="1:30" s="38" customFormat="1" x14ac:dyDescent="0.2">
      <c r="A163" s="25"/>
      <c r="B163" s="24" t="s">
        <v>189</v>
      </c>
      <c r="C163" s="64"/>
      <c r="D163" s="64"/>
      <c r="E163" s="64"/>
      <c r="F163" s="64"/>
      <c r="G163" s="54"/>
      <c r="H163" s="119"/>
      <c r="I163" s="54"/>
      <c r="J163" s="54"/>
      <c r="K163" s="54"/>
      <c r="L163" s="119"/>
      <c r="M163" s="54"/>
      <c r="N163" s="54"/>
      <c r="O163" s="54"/>
      <c r="P163" s="119"/>
      <c r="Q163" s="54"/>
      <c r="R163" s="54"/>
      <c r="S163" s="54"/>
      <c r="T163" s="119"/>
      <c r="U163" s="54"/>
      <c r="V163" s="54"/>
      <c r="W163" s="54"/>
      <c r="X163" s="119"/>
      <c r="Y163" s="54"/>
      <c r="Z163" s="54"/>
      <c r="AA163" s="54"/>
      <c r="AB163" s="119"/>
      <c r="AC163" s="54"/>
      <c r="AD163" s="180"/>
    </row>
    <row r="164" spans="1:30" s="38" customFormat="1" x14ac:dyDescent="0.2">
      <c r="A164" s="25"/>
      <c r="B164" s="40" t="s">
        <v>190</v>
      </c>
      <c r="C164" s="64">
        <f t="shared" si="46"/>
        <v>0</v>
      </c>
      <c r="D164" s="64">
        <f t="shared" si="47"/>
        <v>0</v>
      </c>
      <c r="E164" s="64">
        <f t="shared" si="48"/>
        <v>0</v>
      </c>
      <c r="F164" s="64">
        <f t="shared" si="49"/>
        <v>0</v>
      </c>
      <c r="G164" s="54"/>
      <c r="H164" s="119"/>
      <c r="I164" s="54"/>
      <c r="J164" s="54"/>
      <c r="K164" s="54"/>
      <c r="L164" s="119"/>
      <c r="M164" s="54"/>
      <c r="N164" s="54"/>
      <c r="O164" s="54"/>
      <c r="P164" s="119"/>
      <c r="Q164" s="54"/>
      <c r="R164" s="54"/>
      <c r="S164" s="54"/>
      <c r="T164" s="119"/>
      <c r="U164" s="54"/>
      <c r="V164" s="54"/>
      <c r="W164" s="54"/>
      <c r="X164" s="119"/>
      <c r="Y164" s="54"/>
      <c r="Z164" s="54"/>
      <c r="AA164" s="54"/>
      <c r="AB164" s="119"/>
      <c r="AC164" s="54"/>
      <c r="AD164" s="180"/>
    </row>
    <row r="165" spans="1:30" s="38" customFormat="1" ht="15" x14ac:dyDescent="0.25">
      <c r="A165" s="25"/>
      <c r="B165" s="24" t="s">
        <v>191</v>
      </c>
      <c r="C165" s="64">
        <f t="shared" si="46"/>
        <v>12</v>
      </c>
      <c r="D165" s="64">
        <f t="shared" si="47"/>
        <v>47000</v>
      </c>
      <c r="E165" s="64">
        <f t="shared" si="48"/>
        <v>0</v>
      </c>
      <c r="F165" s="64">
        <f t="shared" si="49"/>
        <v>0</v>
      </c>
      <c r="G165" s="54"/>
      <c r="H165" s="119"/>
      <c r="I165" s="54"/>
      <c r="J165" s="54"/>
      <c r="K165" s="54"/>
      <c r="L165" s="119"/>
      <c r="M165" s="54"/>
      <c r="N165" s="54"/>
      <c r="O165" s="54">
        <v>8</v>
      </c>
      <c r="P165" s="119">
        <v>18000</v>
      </c>
      <c r="Q165" s="54"/>
      <c r="R165" s="54"/>
      <c r="S165" s="54"/>
      <c r="T165" s="119"/>
      <c r="U165" s="54"/>
      <c r="V165" s="54"/>
      <c r="W165" s="47">
        <v>2</v>
      </c>
      <c r="X165" s="119">
        <v>20000</v>
      </c>
      <c r="Y165" s="54"/>
      <c r="Z165" s="54"/>
      <c r="AA165" s="54">
        <v>2</v>
      </c>
      <c r="AB165" s="119">
        <v>9000</v>
      </c>
      <c r="AC165" s="54"/>
      <c r="AD165" s="180"/>
    </row>
    <row r="166" spans="1:30" ht="13.5" thickBot="1" x14ac:dyDescent="0.25">
      <c r="A166" s="103"/>
      <c r="B166" s="96" t="s">
        <v>161</v>
      </c>
      <c r="C166" s="137">
        <f t="shared" ref="C166:AD166" si="54">SUM(C135:C165)</f>
        <v>185</v>
      </c>
      <c r="D166" s="137">
        <f t="shared" si="54"/>
        <v>1489300</v>
      </c>
      <c r="E166" s="137">
        <f t="shared" si="54"/>
        <v>0</v>
      </c>
      <c r="F166" s="137">
        <f t="shared" si="54"/>
        <v>0</v>
      </c>
      <c r="G166" s="137">
        <f t="shared" si="54"/>
        <v>7</v>
      </c>
      <c r="H166" s="137">
        <f t="shared" si="54"/>
        <v>34000</v>
      </c>
      <c r="I166" s="137">
        <f t="shared" si="54"/>
        <v>0</v>
      </c>
      <c r="J166" s="137">
        <f t="shared" si="54"/>
        <v>0</v>
      </c>
      <c r="K166" s="137">
        <f t="shared" si="54"/>
        <v>29</v>
      </c>
      <c r="L166" s="137">
        <f t="shared" si="54"/>
        <v>258500</v>
      </c>
      <c r="M166" s="137">
        <f t="shared" si="54"/>
        <v>0</v>
      </c>
      <c r="N166" s="137">
        <f t="shared" si="54"/>
        <v>0</v>
      </c>
      <c r="O166" s="137">
        <f t="shared" si="54"/>
        <v>88</v>
      </c>
      <c r="P166" s="137">
        <f t="shared" si="54"/>
        <v>161000</v>
      </c>
      <c r="Q166" s="137">
        <f t="shared" si="54"/>
        <v>0</v>
      </c>
      <c r="R166" s="137">
        <f t="shared" si="54"/>
        <v>0</v>
      </c>
      <c r="S166" s="137">
        <f t="shared" si="54"/>
        <v>4</v>
      </c>
      <c r="T166" s="137">
        <f t="shared" si="54"/>
        <v>840000</v>
      </c>
      <c r="U166" s="137">
        <f t="shared" si="54"/>
        <v>0</v>
      </c>
      <c r="V166" s="137">
        <f t="shared" si="54"/>
        <v>0</v>
      </c>
      <c r="W166" s="137">
        <f t="shared" si="54"/>
        <v>45</v>
      </c>
      <c r="X166" s="137">
        <f t="shared" si="54"/>
        <v>169200</v>
      </c>
      <c r="Y166" s="137">
        <f t="shared" si="54"/>
        <v>0</v>
      </c>
      <c r="Z166" s="137">
        <f t="shared" si="54"/>
        <v>0</v>
      </c>
      <c r="AA166" s="137">
        <f t="shared" si="54"/>
        <v>12</v>
      </c>
      <c r="AB166" s="137">
        <f t="shared" si="54"/>
        <v>26600</v>
      </c>
      <c r="AC166" s="137">
        <f t="shared" si="54"/>
        <v>0</v>
      </c>
      <c r="AD166" s="137">
        <f t="shared" si="54"/>
        <v>0</v>
      </c>
    </row>
    <row r="167" spans="1:30" s="38" customFormat="1" ht="13.5" thickBot="1" x14ac:dyDescent="0.25">
      <c r="A167" s="41"/>
      <c r="B167" s="156"/>
      <c r="C167" s="109"/>
      <c r="D167" s="21"/>
      <c r="E167" s="109"/>
      <c r="F167" s="109"/>
      <c r="G167" s="20"/>
      <c r="H167" s="26"/>
      <c r="I167" s="154"/>
      <c r="J167" s="20"/>
      <c r="K167" s="20"/>
      <c r="L167" s="26"/>
      <c r="M167" s="154"/>
      <c r="N167" s="20"/>
      <c r="O167" s="20"/>
      <c r="P167" s="26"/>
      <c r="Q167" s="154"/>
      <c r="R167" s="20"/>
      <c r="S167" s="20"/>
      <c r="T167" s="26"/>
      <c r="U167" s="154"/>
      <c r="V167" s="20"/>
      <c r="W167" s="20"/>
      <c r="X167" s="26"/>
      <c r="Y167" s="154"/>
      <c r="Z167" s="20"/>
      <c r="AA167" s="20"/>
      <c r="AB167" s="26"/>
      <c r="AC167" s="154"/>
      <c r="AD167" s="20"/>
    </row>
    <row r="168" spans="1:30" ht="16.5" thickBot="1" x14ac:dyDescent="0.3">
      <c r="A168" s="153"/>
      <c r="B168" s="152" t="s">
        <v>162</v>
      </c>
      <c r="C168" s="150">
        <f t="shared" ref="C168:AD168" si="55">C12+C48+C60+C73+C77+C92+C133+C166</f>
        <v>713</v>
      </c>
      <c r="D168" s="150">
        <f t="shared" si="55"/>
        <v>14359500</v>
      </c>
      <c r="E168" s="150">
        <f t="shared" si="55"/>
        <v>0</v>
      </c>
      <c r="F168" s="150">
        <f t="shared" si="55"/>
        <v>0</v>
      </c>
      <c r="G168" s="150">
        <f t="shared" si="55"/>
        <v>104</v>
      </c>
      <c r="H168" s="150">
        <f t="shared" si="55"/>
        <v>2340500</v>
      </c>
      <c r="I168" s="150">
        <f t="shared" si="55"/>
        <v>0</v>
      </c>
      <c r="J168" s="150">
        <f t="shared" si="55"/>
        <v>0</v>
      </c>
      <c r="K168" s="150">
        <f t="shared" si="55"/>
        <v>114</v>
      </c>
      <c r="L168" s="150">
        <f t="shared" si="55"/>
        <v>1783300</v>
      </c>
      <c r="M168" s="150">
        <f t="shared" si="55"/>
        <v>0</v>
      </c>
      <c r="N168" s="150">
        <f t="shared" si="55"/>
        <v>0</v>
      </c>
      <c r="O168" s="150">
        <f t="shared" si="55"/>
        <v>207</v>
      </c>
      <c r="P168" s="150">
        <f t="shared" si="55"/>
        <v>2380000</v>
      </c>
      <c r="Q168" s="150">
        <f t="shared" si="55"/>
        <v>0</v>
      </c>
      <c r="R168" s="150">
        <f t="shared" si="55"/>
        <v>0</v>
      </c>
      <c r="S168" s="150">
        <f t="shared" si="55"/>
        <v>81</v>
      </c>
      <c r="T168" s="150">
        <f t="shared" si="55"/>
        <v>2280000</v>
      </c>
      <c r="U168" s="150">
        <f t="shared" si="55"/>
        <v>0</v>
      </c>
      <c r="V168" s="150">
        <f t="shared" si="55"/>
        <v>0</v>
      </c>
      <c r="W168" s="150">
        <f t="shared" si="55"/>
        <v>127</v>
      </c>
      <c r="X168" s="150">
        <f t="shared" si="55"/>
        <v>2018600</v>
      </c>
      <c r="Y168" s="150">
        <f t="shared" si="55"/>
        <v>0</v>
      </c>
      <c r="Z168" s="150">
        <f t="shared" si="55"/>
        <v>0</v>
      </c>
      <c r="AA168" s="150">
        <f t="shared" si="55"/>
        <v>76</v>
      </c>
      <c r="AB168" s="150">
        <f t="shared" si="55"/>
        <v>1799100</v>
      </c>
      <c r="AC168" s="150">
        <f t="shared" si="55"/>
        <v>0</v>
      </c>
      <c r="AD168" s="150">
        <f t="shared" si="55"/>
        <v>0</v>
      </c>
    </row>
    <row r="182" spans="7:7" s="5" customFormat="1" x14ac:dyDescent="0.2">
      <c r="G182" s="38"/>
    </row>
    <row r="183" spans="7:7" s="5" customFormat="1" x14ac:dyDescent="0.2">
      <c r="G183" s="38"/>
    </row>
  </sheetData>
  <mergeCells count="22">
    <mergeCell ref="M4:N4"/>
    <mergeCell ref="C4:D4"/>
    <mergeCell ref="E4:F4"/>
    <mergeCell ref="G4:H4"/>
    <mergeCell ref="I4:J4"/>
    <mergeCell ref="K4:L4"/>
    <mergeCell ref="AA4:AB4"/>
    <mergeCell ref="AC4:AD4"/>
    <mergeCell ref="E3:F3"/>
    <mergeCell ref="C3:D3"/>
    <mergeCell ref="G3:J3"/>
    <mergeCell ref="K3:N3"/>
    <mergeCell ref="O3:R3"/>
    <mergeCell ref="S3:V3"/>
    <mergeCell ref="W3:Z3"/>
    <mergeCell ref="AA3:AD3"/>
    <mergeCell ref="O4:P4"/>
    <mergeCell ref="Q4:R4"/>
    <mergeCell ref="S4:T4"/>
    <mergeCell ref="U4:V4"/>
    <mergeCell ref="W4:X4"/>
    <mergeCell ref="Y4:Z4"/>
  </mergeCells>
  <phoneticPr fontId="8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BK183"/>
  <sheetViews>
    <sheetView zoomScale="110" zoomScaleNormal="110" workbookViewId="0">
      <pane xSplit="2" ySplit="5" topLeftCell="C130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48.28515625" style="9" customWidth="1"/>
    <col min="3" max="3" width="10.7109375" style="12" customWidth="1"/>
    <col min="4" max="4" width="14" style="13" customWidth="1"/>
    <col min="5" max="5" width="9.28515625" style="5" customWidth="1"/>
    <col min="6" max="6" width="10.85546875" style="5" customWidth="1"/>
    <col min="7" max="7" width="8.7109375" style="12" customWidth="1"/>
    <col min="8" max="8" width="11.5703125" style="13" customWidth="1"/>
    <col min="9" max="9" width="8.42578125" style="5" customWidth="1"/>
    <col min="10" max="10" width="11.28515625" style="5" customWidth="1"/>
    <col min="11" max="11" width="8.42578125" style="12" customWidth="1"/>
    <col min="12" max="12" width="11.5703125" style="13" customWidth="1"/>
    <col min="13" max="13" width="8.42578125" style="5" customWidth="1"/>
    <col min="14" max="14" width="11.28515625" style="5" customWidth="1"/>
    <col min="15" max="15" width="8.28515625" style="12" customWidth="1"/>
    <col min="16" max="16" width="12.28515625" style="13" customWidth="1"/>
    <col min="17" max="17" width="8.42578125" style="5" customWidth="1"/>
    <col min="18" max="18" width="11.28515625" style="5" customWidth="1"/>
    <col min="19" max="19" width="8.28515625" style="12" customWidth="1"/>
    <col min="20" max="20" width="11.5703125" style="13" customWidth="1"/>
    <col min="21" max="21" width="8.42578125" style="5" customWidth="1"/>
    <col min="22" max="22" width="11.28515625" style="5" customWidth="1"/>
    <col min="23" max="23" width="8" style="12" customWidth="1"/>
    <col min="24" max="24" width="11.5703125" style="13" customWidth="1"/>
    <col min="25" max="25" width="8.42578125" style="5" customWidth="1"/>
    <col min="26" max="26" width="11.28515625" style="5" customWidth="1"/>
    <col min="27" max="27" width="8.7109375" style="12" customWidth="1"/>
    <col min="28" max="28" width="11.5703125" style="13" customWidth="1"/>
    <col min="29" max="29" width="8.42578125" style="5" customWidth="1"/>
    <col min="30" max="30" width="11.28515625" style="5" customWidth="1"/>
    <col min="31" max="31" width="8.28515625" style="12" customWidth="1"/>
    <col min="32" max="32" width="11.5703125" style="13" customWidth="1"/>
    <col min="33" max="33" width="8.42578125" style="5" customWidth="1"/>
    <col min="34" max="34" width="11.28515625" style="5" customWidth="1"/>
    <col min="35" max="35" width="8.140625" style="12" customWidth="1"/>
    <col min="36" max="36" width="11.5703125" style="13" customWidth="1"/>
    <col min="37" max="37" width="8.42578125" style="5" customWidth="1"/>
    <col min="38" max="38" width="11.28515625" style="5" customWidth="1"/>
    <col min="39" max="39" width="7.85546875" style="12" customWidth="1"/>
    <col min="40" max="40" width="11.5703125" style="13" customWidth="1"/>
    <col min="41" max="41" width="8.42578125" style="5" customWidth="1"/>
    <col min="42" max="42" width="11.28515625" style="5" customWidth="1"/>
    <col min="43" max="43" width="8.42578125" style="12" customWidth="1"/>
    <col min="44" max="44" width="11.5703125" style="13" customWidth="1"/>
    <col min="45" max="45" width="8.42578125" style="5" customWidth="1"/>
    <col min="46" max="46" width="11.28515625" style="5" customWidth="1"/>
    <col min="47" max="47" width="9.5703125" style="12" customWidth="1"/>
    <col min="48" max="48" width="11.5703125" style="13" customWidth="1"/>
    <col min="49" max="49" width="8.42578125" style="5" customWidth="1"/>
    <col min="50" max="50" width="11.28515625" style="5" customWidth="1"/>
    <col min="51" max="51" width="8.85546875" style="12" customWidth="1"/>
    <col min="52" max="52" width="11.5703125" style="13" customWidth="1"/>
    <col min="53" max="53" width="8.42578125" style="5" customWidth="1"/>
    <col min="54" max="54" width="11.28515625" style="5" customWidth="1"/>
    <col min="55" max="55" width="8.28515625" style="12" customWidth="1"/>
    <col min="56" max="56" width="11.5703125" style="13" customWidth="1"/>
    <col min="57" max="57" width="8.42578125" style="5" customWidth="1"/>
    <col min="58" max="58" width="11.28515625" style="5" customWidth="1"/>
    <col min="59" max="59" width="8.28515625" style="12" customWidth="1"/>
    <col min="60" max="60" width="11.5703125" style="13" customWidth="1"/>
    <col min="61" max="61" width="8.42578125" style="5" customWidth="1"/>
    <col min="62" max="62" width="11.28515625" style="5" customWidth="1"/>
    <col min="63" max="16384" width="9.140625" style="5"/>
  </cols>
  <sheetData>
    <row r="1" spans="1:63" ht="14.45" customHeight="1" x14ac:dyDescent="0.2">
      <c r="A1" s="1"/>
      <c r="B1" s="14" t="s">
        <v>55</v>
      </c>
      <c r="C1" s="4"/>
      <c r="D1" s="3"/>
      <c r="G1" s="4"/>
      <c r="H1" s="3"/>
      <c r="K1" s="4"/>
      <c r="L1" s="3"/>
      <c r="O1" s="4"/>
      <c r="P1" s="3"/>
      <c r="R1" s="5">
        <f>8250-8550</f>
        <v>-300</v>
      </c>
      <c r="S1" s="4"/>
      <c r="T1" s="3"/>
      <c r="W1" s="4"/>
      <c r="X1" s="3"/>
      <c r="AA1" s="4"/>
      <c r="AB1" s="3"/>
      <c r="AE1" s="4"/>
      <c r="AF1" s="3"/>
      <c r="AI1" s="4"/>
      <c r="AJ1" s="3"/>
      <c r="AM1" s="4"/>
      <c r="AN1" s="3"/>
      <c r="AQ1" s="4"/>
      <c r="AR1" s="3"/>
      <c r="AU1" s="4"/>
      <c r="AV1" s="3"/>
      <c r="AY1" s="4"/>
      <c r="AZ1" s="3"/>
      <c r="BC1" s="4"/>
      <c r="BD1" s="3"/>
      <c r="BG1" s="4"/>
      <c r="BH1" s="3"/>
    </row>
    <row r="2" spans="1:63" ht="14.45" customHeight="1" thickBot="1" x14ac:dyDescent="0.25">
      <c r="A2" s="1"/>
      <c r="B2" s="2"/>
      <c r="C2" s="4"/>
      <c r="D2" s="3"/>
      <c r="F2" s="17" t="s">
        <v>236</v>
      </c>
      <c r="G2" s="4"/>
      <c r="H2" s="3"/>
      <c r="J2" s="17" t="s">
        <v>236</v>
      </c>
      <c r="K2" s="4"/>
      <c r="L2" s="3"/>
      <c r="N2" s="17" t="s">
        <v>236</v>
      </c>
      <c r="O2" s="4"/>
      <c r="P2" s="3"/>
      <c r="R2" s="17" t="s">
        <v>236</v>
      </c>
      <c r="S2" s="4"/>
      <c r="T2" s="3"/>
      <c r="V2" s="17" t="s">
        <v>236</v>
      </c>
      <c r="W2" s="4"/>
      <c r="X2" s="3"/>
      <c r="Z2" s="17" t="s">
        <v>236</v>
      </c>
      <c r="AA2" s="4"/>
      <c r="AB2" s="3"/>
      <c r="AD2" s="17" t="s">
        <v>236</v>
      </c>
      <c r="AE2" s="4"/>
      <c r="AF2" s="3"/>
      <c r="AH2" s="17" t="s">
        <v>236</v>
      </c>
      <c r="AI2" s="4"/>
      <c r="AJ2" s="3"/>
      <c r="AL2" s="17" t="s">
        <v>236</v>
      </c>
      <c r="AM2" s="4"/>
      <c r="AN2" s="3"/>
      <c r="AP2" s="17" t="s">
        <v>236</v>
      </c>
      <c r="AQ2" s="4"/>
      <c r="AR2" s="3"/>
      <c r="AT2" s="17" t="s">
        <v>236</v>
      </c>
      <c r="AU2" s="4"/>
      <c r="AV2" s="3"/>
      <c r="AX2" s="17" t="s">
        <v>236</v>
      </c>
      <c r="AY2" s="4"/>
      <c r="AZ2" s="3"/>
      <c r="BB2" s="17" t="s">
        <v>236</v>
      </c>
      <c r="BC2" s="4"/>
      <c r="BD2" s="3"/>
      <c r="BF2" s="17" t="s">
        <v>236</v>
      </c>
      <c r="BG2" s="4"/>
      <c r="BH2" s="3"/>
      <c r="BJ2" s="17" t="s">
        <v>236</v>
      </c>
    </row>
    <row r="3" spans="1:63" s="6" customFormat="1" ht="19.5" customHeight="1" thickBot="1" x14ac:dyDescent="0.3">
      <c r="A3" s="70"/>
      <c r="B3" s="71"/>
      <c r="C3" s="77" t="s">
        <v>56</v>
      </c>
      <c r="D3" s="81"/>
      <c r="E3" s="422" t="s">
        <v>56</v>
      </c>
      <c r="F3" s="423"/>
      <c r="G3" s="413" t="s">
        <v>258</v>
      </c>
      <c r="H3" s="414"/>
      <c r="I3" s="414"/>
      <c r="J3" s="415"/>
      <c r="K3" s="413" t="s">
        <v>259</v>
      </c>
      <c r="L3" s="414"/>
      <c r="M3" s="414"/>
      <c r="N3" s="415"/>
      <c r="O3" s="413" t="s">
        <v>260</v>
      </c>
      <c r="P3" s="414"/>
      <c r="Q3" s="414"/>
      <c r="R3" s="415"/>
      <c r="S3" s="413" t="s">
        <v>261</v>
      </c>
      <c r="T3" s="414"/>
      <c r="U3" s="414"/>
      <c r="V3" s="415"/>
      <c r="W3" s="413" t="s">
        <v>262</v>
      </c>
      <c r="X3" s="414"/>
      <c r="Y3" s="414"/>
      <c r="Z3" s="415"/>
      <c r="AA3" s="413" t="s">
        <v>263</v>
      </c>
      <c r="AB3" s="414"/>
      <c r="AC3" s="414"/>
      <c r="AD3" s="415"/>
      <c r="AE3" s="413" t="s">
        <v>264</v>
      </c>
      <c r="AF3" s="414"/>
      <c r="AG3" s="414"/>
      <c r="AH3" s="415"/>
      <c r="AI3" s="413" t="s">
        <v>265</v>
      </c>
      <c r="AJ3" s="414"/>
      <c r="AK3" s="414"/>
      <c r="AL3" s="415"/>
      <c r="AM3" s="413" t="s">
        <v>266</v>
      </c>
      <c r="AN3" s="414"/>
      <c r="AO3" s="414"/>
      <c r="AP3" s="415"/>
      <c r="AQ3" s="413" t="s">
        <v>267</v>
      </c>
      <c r="AR3" s="414"/>
      <c r="AS3" s="414"/>
      <c r="AT3" s="415"/>
      <c r="AU3" s="413" t="s">
        <v>268</v>
      </c>
      <c r="AV3" s="414"/>
      <c r="AW3" s="414"/>
      <c r="AX3" s="415"/>
      <c r="AY3" s="413" t="s">
        <v>269</v>
      </c>
      <c r="AZ3" s="414"/>
      <c r="BA3" s="414"/>
      <c r="BB3" s="415"/>
      <c r="BC3" s="413" t="s">
        <v>270</v>
      </c>
      <c r="BD3" s="414"/>
      <c r="BE3" s="414"/>
      <c r="BF3" s="415"/>
      <c r="BG3" s="413" t="s">
        <v>271</v>
      </c>
      <c r="BH3" s="414"/>
      <c r="BI3" s="414"/>
      <c r="BJ3" s="415"/>
      <c r="BK3" s="6" t="s">
        <v>60</v>
      </c>
    </row>
    <row r="4" spans="1:63" s="6" customFormat="1" ht="30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405" t="s">
        <v>235</v>
      </c>
      <c r="H4" s="406"/>
      <c r="I4" s="411" t="s">
        <v>59</v>
      </c>
      <c r="J4" s="412"/>
      <c r="K4" s="405" t="s">
        <v>235</v>
      </c>
      <c r="L4" s="406"/>
      <c r="M4" s="411" t="s">
        <v>59</v>
      </c>
      <c r="N4" s="412"/>
      <c r="O4" s="405" t="s">
        <v>235</v>
      </c>
      <c r="P4" s="406"/>
      <c r="Q4" s="411" t="s">
        <v>59</v>
      </c>
      <c r="R4" s="412"/>
      <c r="S4" s="405" t="s">
        <v>235</v>
      </c>
      <c r="T4" s="406"/>
      <c r="U4" s="411" t="s">
        <v>59</v>
      </c>
      <c r="V4" s="412"/>
      <c r="W4" s="405" t="s">
        <v>235</v>
      </c>
      <c r="X4" s="406"/>
      <c r="Y4" s="411" t="s">
        <v>59</v>
      </c>
      <c r="Z4" s="412"/>
      <c r="AA4" s="405" t="s">
        <v>235</v>
      </c>
      <c r="AB4" s="406"/>
      <c r="AC4" s="411" t="s">
        <v>59</v>
      </c>
      <c r="AD4" s="412"/>
      <c r="AE4" s="405" t="s">
        <v>235</v>
      </c>
      <c r="AF4" s="406"/>
      <c r="AG4" s="411" t="s">
        <v>59</v>
      </c>
      <c r="AH4" s="412"/>
      <c r="AI4" s="405" t="s">
        <v>235</v>
      </c>
      <c r="AJ4" s="406"/>
      <c r="AK4" s="411" t="s">
        <v>59</v>
      </c>
      <c r="AL4" s="412"/>
      <c r="AM4" s="405" t="s">
        <v>235</v>
      </c>
      <c r="AN4" s="406"/>
      <c r="AO4" s="411" t="s">
        <v>59</v>
      </c>
      <c r="AP4" s="412"/>
      <c r="AQ4" s="405" t="s">
        <v>235</v>
      </c>
      <c r="AR4" s="406"/>
      <c r="AS4" s="411" t="s">
        <v>59</v>
      </c>
      <c r="AT4" s="412"/>
      <c r="AU4" s="405" t="s">
        <v>235</v>
      </c>
      <c r="AV4" s="406"/>
      <c r="AW4" s="411" t="s">
        <v>59</v>
      </c>
      <c r="AX4" s="412"/>
      <c r="AY4" s="405" t="s">
        <v>235</v>
      </c>
      <c r="AZ4" s="406"/>
      <c r="BA4" s="411" t="s">
        <v>59</v>
      </c>
      <c r="BB4" s="412"/>
      <c r="BC4" s="405" t="s">
        <v>235</v>
      </c>
      <c r="BD4" s="406"/>
      <c r="BE4" s="411" t="s">
        <v>59</v>
      </c>
      <c r="BF4" s="412"/>
      <c r="BG4" s="405" t="s">
        <v>235</v>
      </c>
      <c r="BH4" s="406"/>
      <c r="BI4" s="411" t="s">
        <v>59</v>
      </c>
      <c r="BJ4" s="412"/>
    </row>
    <row r="5" spans="1:63" s="7" customFormat="1" ht="35.25" customHeight="1" thickBot="1" x14ac:dyDescent="0.25">
      <c r="A5" s="279" t="s">
        <v>62</v>
      </c>
      <c r="B5" s="298" t="s">
        <v>63</v>
      </c>
      <c r="C5" s="229" t="s">
        <v>57</v>
      </c>
      <c r="D5" s="229" t="s">
        <v>58</v>
      </c>
      <c r="E5" s="229" t="s">
        <v>57</v>
      </c>
      <c r="F5" s="229" t="s">
        <v>58</v>
      </c>
      <c r="G5" s="280" t="s">
        <v>0</v>
      </c>
      <c r="H5" s="280" t="s">
        <v>1</v>
      </c>
      <c r="I5" s="280" t="s">
        <v>0</v>
      </c>
      <c r="J5" s="280" t="s">
        <v>12</v>
      </c>
      <c r="K5" s="280" t="s">
        <v>0</v>
      </c>
      <c r="L5" s="280" t="s">
        <v>1</v>
      </c>
      <c r="M5" s="280" t="s">
        <v>0</v>
      </c>
      <c r="N5" s="280" t="s">
        <v>12</v>
      </c>
      <c r="O5" s="280" t="s">
        <v>0</v>
      </c>
      <c r="P5" s="280" t="s">
        <v>1</v>
      </c>
      <c r="Q5" s="280" t="s">
        <v>0</v>
      </c>
      <c r="R5" s="280" t="s">
        <v>12</v>
      </c>
      <c r="S5" s="280" t="s">
        <v>0</v>
      </c>
      <c r="T5" s="280" t="s">
        <v>1</v>
      </c>
      <c r="U5" s="280" t="s">
        <v>0</v>
      </c>
      <c r="V5" s="280" t="s">
        <v>12</v>
      </c>
      <c r="W5" s="280" t="s">
        <v>0</v>
      </c>
      <c r="X5" s="280" t="s">
        <v>1</v>
      </c>
      <c r="Y5" s="280" t="s">
        <v>0</v>
      </c>
      <c r="Z5" s="280" t="s">
        <v>12</v>
      </c>
      <c r="AA5" s="280" t="s">
        <v>0</v>
      </c>
      <c r="AB5" s="280" t="s">
        <v>1</v>
      </c>
      <c r="AC5" s="280" t="s">
        <v>0</v>
      </c>
      <c r="AD5" s="280" t="s">
        <v>12</v>
      </c>
      <c r="AE5" s="280" t="s">
        <v>0</v>
      </c>
      <c r="AF5" s="280" t="s">
        <v>1</v>
      </c>
      <c r="AG5" s="280" t="s">
        <v>0</v>
      </c>
      <c r="AH5" s="280" t="s">
        <v>12</v>
      </c>
      <c r="AI5" s="280" t="s">
        <v>0</v>
      </c>
      <c r="AJ5" s="280" t="s">
        <v>1</v>
      </c>
      <c r="AK5" s="280" t="s">
        <v>0</v>
      </c>
      <c r="AL5" s="280" t="s">
        <v>12</v>
      </c>
      <c r="AM5" s="280" t="s">
        <v>0</v>
      </c>
      <c r="AN5" s="280" t="s">
        <v>1</v>
      </c>
      <c r="AO5" s="280" t="s">
        <v>0</v>
      </c>
      <c r="AP5" s="280" t="s">
        <v>12</v>
      </c>
      <c r="AQ5" s="280" t="s">
        <v>0</v>
      </c>
      <c r="AR5" s="280" t="s">
        <v>1</v>
      </c>
      <c r="AS5" s="280" t="s">
        <v>0</v>
      </c>
      <c r="AT5" s="280" t="s">
        <v>12</v>
      </c>
      <c r="AU5" s="280" t="s">
        <v>0</v>
      </c>
      <c r="AV5" s="280" t="s">
        <v>1</v>
      </c>
      <c r="AW5" s="280" t="s">
        <v>0</v>
      </c>
      <c r="AX5" s="280" t="s">
        <v>12</v>
      </c>
      <c r="AY5" s="280" t="s">
        <v>0</v>
      </c>
      <c r="AZ5" s="280" t="s">
        <v>1</v>
      </c>
      <c r="BA5" s="280" t="s">
        <v>0</v>
      </c>
      <c r="BB5" s="280" t="s">
        <v>12</v>
      </c>
      <c r="BC5" s="280" t="s">
        <v>0</v>
      </c>
      <c r="BD5" s="280" t="s">
        <v>1</v>
      </c>
      <c r="BE5" s="280" t="s">
        <v>0</v>
      </c>
      <c r="BF5" s="280" t="s">
        <v>12</v>
      </c>
      <c r="BG5" s="280" t="s">
        <v>0</v>
      </c>
      <c r="BH5" s="280" t="s">
        <v>1</v>
      </c>
      <c r="BI5" s="280" t="s">
        <v>0</v>
      </c>
      <c r="BJ5" s="280" t="s">
        <v>12</v>
      </c>
    </row>
    <row r="6" spans="1:63" s="9" customFormat="1" x14ac:dyDescent="0.2">
      <c r="A6" s="175" t="s">
        <v>2</v>
      </c>
      <c r="B6" s="176" t="s">
        <v>3</v>
      </c>
      <c r="C6" s="177"/>
      <c r="D6" s="178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9"/>
    </row>
    <row r="7" spans="1:63" x14ac:dyDescent="0.2">
      <c r="A7" s="25"/>
      <c r="B7" s="48" t="s">
        <v>18</v>
      </c>
      <c r="C7" s="64">
        <f>G7+K7+O7+S7+W7+AA7+AE7+AI7+AM7+AQ7+AU7+AY7+BC7+BG7</f>
        <v>0</v>
      </c>
      <c r="D7" s="64">
        <f>H7+L7+P7+T7+X7+AB7+AF7+AJ7+AN7+AR7+AV7+AZ7+BD7+BH7</f>
        <v>0</v>
      </c>
      <c r="E7" s="64">
        <f t="shared" ref="E7" si="0">I7+M7+Q7+U7+Y7+AC7+AG7+AK7+AO7+AS7+AW7+BA7+BE7+BI7</f>
        <v>0</v>
      </c>
      <c r="F7" s="64">
        <f t="shared" ref="F7" si="1">J7+N7+R7+V7+Z7+AD7+AH7+AL7+AP7+AT7+AX7+BB7+BF7+BJ7</f>
        <v>0</v>
      </c>
      <c r="G7" s="54"/>
      <c r="H7" s="119"/>
      <c r="I7" s="54"/>
      <c r="J7" s="54"/>
      <c r="K7" s="54"/>
      <c r="L7" s="119"/>
      <c r="M7" s="54"/>
      <c r="N7" s="54"/>
      <c r="O7" s="54"/>
      <c r="P7" s="119"/>
      <c r="Q7" s="54"/>
      <c r="R7" s="54"/>
      <c r="S7" s="54"/>
      <c r="T7" s="119"/>
      <c r="U7" s="54"/>
      <c r="V7" s="54"/>
      <c r="W7" s="54"/>
      <c r="X7" s="119"/>
      <c r="Y7" s="54"/>
      <c r="Z7" s="54"/>
      <c r="AA7" s="54"/>
      <c r="AB7" s="119"/>
      <c r="AC7" s="54"/>
      <c r="AD7" s="54"/>
      <c r="AE7" s="54"/>
      <c r="AF7" s="119"/>
      <c r="AG7" s="54"/>
      <c r="AH7" s="54"/>
      <c r="AI7" s="54"/>
      <c r="AJ7" s="119"/>
      <c r="AK7" s="54"/>
      <c r="AL7" s="54"/>
      <c r="AM7" s="54"/>
      <c r="AN7" s="119"/>
      <c r="AO7" s="54"/>
      <c r="AP7" s="54"/>
      <c r="AQ7" s="54"/>
      <c r="AR7" s="119"/>
      <c r="AS7" s="54"/>
      <c r="AT7" s="54"/>
      <c r="AU7" s="54"/>
      <c r="AV7" s="119"/>
      <c r="AW7" s="54"/>
      <c r="AX7" s="54"/>
      <c r="AY7" s="54"/>
      <c r="AZ7" s="119"/>
      <c r="BA7" s="54"/>
      <c r="BB7" s="54"/>
      <c r="BC7" s="54"/>
      <c r="BD7" s="119"/>
      <c r="BE7" s="54"/>
      <c r="BF7" s="54"/>
      <c r="BG7" s="54"/>
      <c r="BH7" s="119"/>
      <c r="BI7" s="54"/>
      <c r="BJ7" s="180"/>
    </row>
    <row r="8" spans="1:63" x14ac:dyDescent="0.2">
      <c r="A8" s="25"/>
      <c r="B8" s="48" t="s">
        <v>4</v>
      </c>
      <c r="C8" s="64">
        <f t="shared" ref="C8:C9" si="2">G8+K8+O8+S8+W8+AA8+AE8+AI8+AM8+AQ8+AU8+AY8+BC8+BG8</f>
        <v>1</v>
      </c>
      <c r="D8" s="64">
        <f t="shared" ref="D8:D9" si="3">H8+L8+P8+T8+X8+AB8+AF8+AJ8+AN8+AR8+AV8+AZ8+BD8+BH8</f>
        <v>90000</v>
      </c>
      <c r="E8" s="64">
        <f t="shared" ref="E8:E9" si="4">I8+M8+Q8+U8+Y8+AC8+AG8+AK8+AO8+AS8+AW8+BA8+BE8+BI8</f>
        <v>0</v>
      </c>
      <c r="F8" s="64">
        <f t="shared" ref="F8:F9" si="5">J8+N8+R8+V8+Z8+AD8+AH8+AL8+AP8+AT8+AX8+BB8+BF8+BJ8</f>
        <v>0</v>
      </c>
      <c r="G8" s="54"/>
      <c r="H8" s="119"/>
      <c r="I8" s="54"/>
      <c r="J8" s="54"/>
      <c r="K8" s="54"/>
      <c r="L8" s="119"/>
      <c r="M8" s="54"/>
      <c r="N8" s="54"/>
      <c r="O8" s="54"/>
      <c r="P8" s="119"/>
      <c r="Q8" s="54"/>
      <c r="R8" s="54"/>
      <c r="S8" s="54"/>
      <c r="T8" s="119"/>
      <c r="U8" s="54"/>
      <c r="V8" s="54"/>
      <c r="W8" s="54"/>
      <c r="X8" s="119"/>
      <c r="Y8" s="54"/>
      <c r="Z8" s="54"/>
      <c r="AA8" s="54"/>
      <c r="AB8" s="119"/>
      <c r="AC8" s="54"/>
      <c r="AD8" s="54"/>
      <c r="AE8" s="54"/>
      <c r="AF8" s="119"/>
      <c r="AG8" s="54"/>
      <c r="AH8" s="54"/>
      <c r="AI8" s="54">
        <v>1</v>
      </c>
      <c r="AJ8" s="119">
        <v>90000</v>
      </c>
      <c r="AK8" s="54"/>
      <c r="AL8" s="54"/>
      <c r="AM8" s="54"/>
      <c r="AN8" s="119"/>
      <c r="AO8" s="54"/>
      <c r="AP8" s="54"/>
      <c r="AQ8" s="54"/>
      <c r="AR8" s="119"/>
      <c r="AS8" s="54"/>
      <c r="AT8" s="54"/>
      <c r="AU8" s="54"/>
      <c r="AV8" s="119"/>
      <c r="AW8" s="54"/>
      <c r="AX8" s="54"/>
      <c r="AY8" s="54"/>
      <c r="AZ8" s="119"/>
      <c r="BA8" s="54"/>
      <c r="BB8" s="54"/>
      <c r="BC8" s="54"/>
      <c r="BD8" s="119"/>
      <c r="BE8" s="54"/>
      <c r="BF8" s="54"/>
      <c r="BG8" s="54"/>
      <c r="BH8" s="119"/>
      <c r="BI8" s="54"/>
      <c r="BJ8" s="180"/>
    </row>
    <row r="9" spans="1:63" x14ac:dyDescent="0.2">
      <c r="A9" s="25"/>
      <c r="B9" s="48" t="s">
        <v>17</v>
      </c>
      <c r="C9" s="64">
        <f t="shared" si="2"/>
        <v>1</v>
      </c>
      <c r="D9" s="64">
        <f t="shared" si="3"/>
        <v>410000</v>
      </c>
      <c r="E9" s="64">
        <f t="shared" si="4"/>
        <v>0</v>
      </c>
      <c r="F9" s="64">
        <f t="shared" si="5"/>
        <v>0</v>
      </c>
      <c r="G9" s="54">
        <v>1</v>
      </c>
      <c r="H9" s="119">
        <v>410000</v>
      </c>
      <c r="I9" s="54"/>
      <c r="J9" s="54"/>
      <c r="K9" s="54"/>
      <c r="L9" s="119"/>
      <c r="M9" s="54"/>
      <c r="N9" s="54"/>
      <c r="O9" s="54"/>
      <c r="P9" s="119"/>
      <c r="Q9" s="54"/>
      <c r="R9" s="54"/>
      <c r="S9" s="54"/>
      <c r="T9" s="119"/>
      <c r="U9" s="54"/>
      <c r="V9" s="54"/>
      <c r="W9" s="54"/>
      <c r="X9" s="119"/>
      <c r="Y9" s="54"/>
      <c r="Z9" s="54"/>
      <c r="AA9" s="54"/>
      <c r="AB9" s="119"/>
      <c r="AC9" s="54"/>
      <c r="AD9" s="54"/>
      <c r="AE9" s="54"/>
      <c r="AF9" s="119"/>
      <c r="AG9" s="54"/>
      <c r="AH9" s="54"/>
      <c r="AI9" s="54"/>
      <c r="AJ9" s="119"/>
      <c r="AK9" s="54"/>
      <c r="AL9" s="54"/>
      <c r="AM9" s="54"/>
      <c r="AN9" s="119"/>
      <c r="AO9" s="54"/>
      <c r="AP9" s="54"/>
      <c r="AQ9" s="54"/>
      <c r="AR9" s="119"/>
      <c r="AS9" s="54"/>
      <c r="AT9" s="54"/>
      <c r="AU9" s="54"/>
      <c r="AV9" s="119"/>
      <c r="AW9" s="54"/>
      <c r="AX9" s="54"/>
      <c r="AY9" s="54"/>
      <c r="AZ9" s="119"/>
      <c r="BA9" s="54"/>
      <c r="BB9" s="54"/>
      <c r="BC9" s="54"/>
      <c r="BD9" s="119"/>
      <c r="BE9" s="54"/>
      <c r="BF9" s="54"/>
      <c r="BG9" s="54"/>
      <c r="BH9" s="119"/>
      <c r="BI9" s="54"/>
      <c r="BJ9" s="180"/>
    </row>
    <row r="10" spans="1:63" x14ac:dyDescent="0.2">
      <c r="A10" s="25"/>
      <c r="B10" s="48" t="s">
        <v>15</v>
      </c>
      <c r="C10" s="64">
        <f t="shared" ref="C10:C11" si="6">G10+K10+O10+S10+W10+AA10+AE10+AI10+AM10+AQ10+AU10+AY10+BC10+BG10</f>
        <v>0</v>
      </c>
      <c r="D10" s="64">
        <f t="shared" ref="D10:D11" si="7">H10+L10+P10+T10+X10+AB10+AF10+AJ10+AN10+AR10+AV10+AZ10+BD10+BH10</f>
        <v>0</v>
      </c>
      <c r="E10" s="64">
        <f t="shared" ref="E10:E11" si="8">I10+M10+Q10+U10+Y10+AC10+AG10+AK10+AO10+AS10+AW10+BA10+BE10+BI10</f>
        <v>0</v>
      </c>
      <c r="F10" s="64">
        <f t="shared" ref="F10:F11" si="9">J10+N10+R10+V10+Z10+AD10+AH10+AL10+AP10+AT10+AX10+BB10+BF10+BJ10</f>
        <v>0</v>
      </c>
      <c r="G10" s="54"/>
      <c r="H10" s="119"/>
      <c r="I10" s="54"/>
      <c r="J10" s="54"/>
      <c r="K10" s="54"/>
      <c r="L10" s="119"/>
      <c r="M10" s="54"/>
      <c r="N10" s="54"/>
      <c r="O10" s="54"/>
      <c r="P10" s="119"/>
      <c r="Q10" s="54"/>
      <c r="R10" s="54"/>
      <c r="S10" s="54"/>
      <c r="T10" s="119"/>
      <c r="U10" s="54"/>
      <c r="V10" s="54"/>
      <c r="W10" s="54"/>
      <c r="X10" s="119"/>
      <c r="Y10" s="54"/>
      <c r="Z10" s="54"/>
      <c r="AA10" s="54"/>
      <c r="AB10" s="119"/>
      <c r="AC10" s="54"/>
      <c r="AD10" s="54"/>
      <c r="AE10" s="54"/>
      <c r="AF10" s="119"/>
      <c r="AG10" s="54"/>
      <c r="AH10" s="54"/>
      <c r="AI10" s="54"/>
      <c r="AJ10" s="119"/>
      <c r="AK10" s="54"/>
      <c r="AL10" s="54"/>
      <c r="AM10" s="54"/>
      <c r="AN10" s="119"/>
      <c r="AO10" s="54"/>
      <c r="AP10" s="54"/>
      <c r="AQ10" s="54"/>
      <c r="AR10" s="119"/>
      <c r="AS10" s="54"/>
      <c r="AT10" s="54"/>
      <c r="AU10" s="54"/>
      <c r="AV10" s="119"/>
      <c r="AW10" s="54"/>
      <c r="AX10" s="54"/>
      <c r="AY10" s="54"/>
      <c r="AZ10" s="119"/>
      <c r="BA10" s="54"/>
      <c r="BB10" s="54"/>
      <c r="BC10" s="54"/>
      <c r="BD10" s="119"/>
      <c r="BE10" s="54"/>
      <c r="BF10" s="54"/>
      <c r="BG10" s="54"/>
      <c r="BH10" s="119"/>
      <c r="BI10" s="54"/>
      <c r="BJ10" s="180"/>
    </row>
    <row r="11" spans="1:63" ht="13.5" thickBot="1" x14ac:dyDescent="0.25">
      <c r="A11" s="181"/>
      <c r="B11" s="182" t="s">
        <v>16</v>
      </c>
      <c r="C11" s="239">
        <f t="shared" si="6"/>
        <v>16</v>
      </c>
      <c r="D11" s="239">
        <f t="shared" si="7"/>
        <v>3200000</v>
      </c>
      <c r="E11" s="239">
        <f t="shared" si="8"/>
        <v>0</v>
      </c>
      <c r="F11" s="239">
        <f t="shared" si="9"/>
        <v>0</v>
      </c>
      <c r="G11" s="200">
        <v>4</v>
      </c>
      <c r="H11" s="184">
        <f>G11*200000</f>
        <v>800000</v>
      </c>
      <c r="I11" s="200"/>
      <c r="J11" s="200"/>
      <c r="K11" s="200">
        <v>1</v>
      </c>
      <c r="L11" s="184">
        <v>200000</v>
      </c>
      <c r="M11" s="200"/>
      <c r="N11" s="200"/>
      <c r="O11" s="200"/>
      <c r="P11" s="184"/>
      <c r="Q11" s="200"/>
      <c r="R11" s="200"/>
      <c r="S11" s="200">
        <v>1</v>
      </c>
      <c r="T11" s="184">
        <v>200000</v>
      </c>
      <c r="U11" s="200"/>
      <c r="V11" s="200"/>
      <c r="W11" s="200">
        <v>1</v>
      </c>
      <c r="X11" s="184">
        <v>200000</v>
      </c>
      <c r="Y11" s="200"/>
      <c r="Z11" s="200"/>
      <c r="AA11" s="200">
        <v>1</v>
      </c>
      <c r="AB11" s="184">
        <v>200000</v>
      </c>
      <c r="AC11" s="200"/>
      <c r="AD11" s="200"/>
      <c r="AE11" s="200">
        <v>1</v>
      </c>
      <c r="AF11" s="184">
        <v>200000</v>
      </c>
      <c r="AG11" s="200"/>
      <c r="AH11" s="200"/>
      <c r="AI11" s="200">
        <v>1</v>
      </c>
      <c r="AJ11" s="184">
        <v>200000</v>
      </c>
      <c r="AK11" s="200"/>
      <c r="AL11" s="200"/>
      <c r="AM11" s="200">
        <v>1</v>
      </c>
      <c r="AN11" s="184">
        <v>200000</v>
      </c>
      <c r="AO11" s="200"/>
      <c r="AP11" s="200"/>
      <c r="AQ11" s="200">
        <v>1</v>
      </c>
      <c r="AR11" s="184">
        <v>200000</v>
      </c>
      <c r="AS11" s="200"/>
      <c r="AT11" s="200"/>
      <c r="AU11" s="200">
        <v>1</v>
      </c>
      <c r="AV11" s="184">
        <v>200000</v>
      </c>
      <c r="AW11" s="200"/>
      <c r="AX11" s="200"/>
      <c r="AY11" s="200">
        <v>1</v>
      </c>
      <c r="AZ11" s="184">
        <v>200000</v>
      </c>
      <c r="BA11" s="200"/>
      <c r="BB11" s="200"/>
      <c r="BC11" s="200">
        <v>1</v>
      </c>
      <c r="BD11" s="184">
        <v>200000</v>
      </c>
      <c r="BE11" s="200"/>
      <c r="BF11" s="200"/>
      <c r="BG11" s="200">
        <v>1</v>
      </c>
      <c r="BH11" s="184">
        <v>200000</v>
      </c>
      <c r="BI11" s="200"/>
      <c r="BJ11" s="186"/>
    </row>
    <row r="12" spans="1:63" s="9" customFormat="1" ht="13.5" thickBot="1" x14ac:dyDescent="0.25">
      <c r="A12" s="278"/>
      <c r="B12" s="233" t="s">
        <v>155</v>
      </c>
      <c r="C12" s="107">
        <f t="shared" ref="C12:AH12" si="10">SUM(C7:C11)</f>
        <v>18</v>
      </c>
      <c r="D12" s="107">
        <f t="shared" si="10"/>
        <v>3700000</v>
      </c>
      <c r="E12" s="107">
        <f t="shared" si="10"/>
        <v>0</v>
      </c>
      <c r="F12" s="107">
        <f t="shared" si="10"/>
        <v>0</v>
      </c>
      <c r="G12" s="107">
        <f t="shared" si="10"/>
        <v>5</v>
      </c>
      <c r="H12" s="107">
        <f t="shared" si="10"/>
        <v>1210000</v>
      </c>
      <c r="I12" s="107">
        <f t="shared" si="10"/>
        <v>0</v>
      </c>
      <c r="J12" s="107">
        <f t="shared" si="10"/>
        <v>0</v>
      </c>
      <c r="K12" s="107">
        <f t="shared" si="10"/>
        <v>1</v>
      </c>
      <c r="L12" s="107">
        <f t="shared" si="10"/>
        <v>200000</v>
      </c>
      <c r="M12" s="107">
        <f t="shared" si="10"/>
        <v>0</v>
      </c>
      <c r="N12" s="107">
        <f t="shared" si="10"/>
        <v>0</v>
      </c>
      <c r="O12" s="107">
        <f t="shared" si="10"/>
        <v>0</v>
      </c>
      <c r="P12" s="107">
        <f t="shared" si="10"/>
        <v>0</v>
      </c>
      <c r="Q12" s="107">
        <f t="shared" si="10"/>
        <v>0</v>
      </c>
      <c r="R12" s="107">
        <f t="shared" si="10"/>
        <v>0</v>
      </c>
      <c r="S12" s="107">
        <f t="shared" si="10"/>
        <v>1</v>
      </c>
      <c r="T12" s="107">
        <f t="shared" si="10"/>
        <v>200000</v>
      </c>
      <c r="U12" s="107">
        <f t="shared" si="10"/>
        <v>0</v>
      </c>
      <c r="V12" s="107">
        <f t="shared" si="10"/>
        <v>0</v>
      </c>
      <c r="W12" s="107">
        <f t="shared" si="10"/>
        <v>1</v>
      </c>
      <c r="X12" s="107">
        <f t="shared" si="10"/>
        <v>200000</v>
      </c>
      <c r="Y12" s="107">
        <f t="shared" si="10"/>
        <v>0</v>
      </c>
      <c r="Z12" s="107">
        <f t="shared" si="10"/>
        <v>0</v>
      </c>
      <c r="AA12" s="107">
        <f t="shared" si="10"/>
        <v>1</v>
      </c>
      <c r="AB12" s="107">
        <f t="shared" si="10"/>
        <v>200000</v>
      </c>
      <c r="AC12" s="107">
        <f t="shared" si="10"/>
        <v>0</v>
      </c>
      <c r="AD12" s="107">
        <f t="shared" si="10"/>
        <v>0</v>
      </c>
      <c r="AE12" s="107">
        <f t="shared" si="10"/>
        <v>1</v>
      </c>
      <c r="AF12" s="107">
        <f t="shared" si="10"/>
        <v>200000</v>
      </c>
      <c r="AG12" s="107">
        <f t="shared" si="10"/>
        <v>0</v>
      </c>
      <c r="AH12" s="107">
        <f t="shared" si="10"/>
        <v>0</v>
      </c>
      <c r="AI12" s="107">
        <f t="shared" ref="AI12:BJ12" si="11">SUM(AI7:AI11)</f>
        <v>2</v>
      </c>
      <c r="AJ12" s="107">
        <f t="shared" si="11"/>
        <v>290000</v>
      </c>
      <c r="AK12" s="107">
        <f t="shared" si="11"/>
        <v>0</v>
      </c>
      <c r="AL12" s="107">
        <f t="shared" si="11"/>
        <v>0</v>
      </c>
      <c r="AM12" s="107">
        <f t="shared" si="11"/>
        <v>1</v>
      </c>
      <c r="AN12" s="107">
        <f t="shared" si="11"/>
        <v>200000</v>
      </c>
      <c r="AO12" s="107">
        <f t="shared" si="11"/>
        <v>0</v>
      </c>
      <c r="AP12" s="107">
        <f t="shared" si="11"/>
        <v>0</v>
      </c>
      <c r="AQ12" s="107">
        <f t="shared" si="11"/>
        <v>1</v>
      </c>
      <c r="AR12" s="107">
        <f t="shared" si="11"/>
        <v>200000</v>
      </c>
      <c r="AS12" s="107">
        <f t="shared" si="11"/>
        <v>0</v>
      </c>
      <c r="AT12" s="107">
        <f t="shared" si="11"/>
        <v>0</v>
      </c>
      <c r="AU12" s="107">
        <f t="shared" si="11"/>
        <v>1</v>
      </c>
      <c r="AV12" s="107">
        <f t="shared" si="11"/>
        <v>200000</v>
      </c>
      <c r="AW12" s="107">
        <f t="shared" si="11"/>
        <v>0</v>
      </c>
      <c r="AX12" s="107">
        <f t="shared" si="11"/>
        <v>0</v>
      </c>
      <c r="AY12" s="107">
        <f t="shared" si="11"/>
        <v>1</v>
      </c>
      <c r="AZ12" s="107">
        <f t="shared" si="11"/>
        <v>200000</v>
      </c>
      <c r="BA12" s="107">
        <f t="shared" si="11"/>
        <v>0</v>
      </c>
      <c r="BB12" s="107">
        <f t="shared" si="11"/>
        <v>0</v>
      </c>
      <c r="BC12" s="107">
        <f t="shared" si="11"/>
        <v>1</v>
      </c>
      <c r="BD12" s="107">
        <f t="shared" si="11"/>
        <v>200000</v>
      </c>
      <c r="BE12" s="107">
        <f t="shared" si="11"/>
        <v>0</v>
      </c>
      <c r="BF12" s="107">
        <f t="shared" si="11"/>
        <v>0</v>
      </c>
      <c r="BG12" s="107">
        <f t="shared" si="11"/>
        <v>1</v>
      </c>
      <c r="BH12" s="107">
        <f t="shared" si="11"/>
        <v>200000</v>
      </c>
      <c r="BI12" s="107">
        <f t="shared" si="11"/>
        <v>0</v>
      </c>
      <c r="BJ12" s="107">
        <f t="shared" si="11"/>
        <v>0</v>
      </c>
    </row>
    <row r="13" spans="1:63" s="52" customFormat="1" x14ac:dyDescent="0.2">
      <c r="A13" s="175" t="s">
        <v>5</v>
      </c>
      <c r="B13" s="176" t="s">
        <v>89</v>
      </c>
      <c r="C13" s="177"/>
      <c r="D13" s="178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9"/>
    </row>
    <row r="14" spans="1:63" s="52" customFormat="1" ht="15" x14ac:dyDescent="0.25">
      <c r="A14" s="25"/>
      <c r="B14" s="209" t="s">
        <v>19</v>
      </c>
      <c r="C14" s="64">
        <f>G14+K14+O14+S14+W14+AA14+AE14+AI14+AM14+AQ14+AU14+AY14+BC14+BG14</f>
        <v>37</v>
      </c>
      <c r="D14" s="64">
        <f>H14+L14+P14+T14+X14+AB14+AF14+AJ14+AN14+AR14+AV14+AZ14+BD14+BH14</f>
        <v>111000</v>
      </c>
      <c r="E14" s="64">
        <f t="shared" ref="E14:E47" si="12">I14+M14+Q14+U14+Y14+AC14+AG14+AK14+AO14+AS14+AW14+BA14+BE14+BI14</f>
        <v>0</v>
      </c>
      <c r="F14" s="64">
        <f t="shared" ref="F14:F47" si="13">J14+N14+R14+V14+Z14+AD14+AH14+AL14+AP14+AT14+AX14+BB14+BF14+BJ14</f>
        <v>0</v>
      </c>
      <c r="G14" s="47"/>
      <c r="H14" s="119"/>
      <c r="I14" s="54"/>
      <c r="J14" s="54"/>
      <c r="K14" s="54"/>
      <c r="L14" s="119"/>
      <c r="M14" s="54"/>
      <c r="N14" s="54"/>
      <c r="O14" s="54"/>
      <c r="P14" s="119"/>
      <c r="Q14" s="54"/>
      <c r="R14" s="54"/>
      <c r="S14" s="47"/>
      <c r="T14" s="119"/>
      <c r="U14" s="54"/>
      <c r="V14" s="54"/>
      <c r="W14" s="47">
        <v>6</v>
      </c>
      <c r="X14" s="119">
        <f>W14*3000</f>
        <v>18000</v>
      </c>
      <c r="Y14" s="54"/>
      <c r="Z14" s="54"/>
      <c r="AA14" s="54"/>
      <c r="AB14" s="119"/>
      <c r="AC14" s="54"/>
      <c r="AD14" s="54"/>
      <c r="AE14" s="47"/>
      <c r="AF14" s="119"/>
      <c r="AG14" s="54"/>
      <c r="AH14" s="54"/>
      <c r="AI14" s="54"/>
      <c r="AJ14" s="119"/>
      <c r="AK14" s="54"/>
      <c r="AL14" s="54"/>
      <c r="AM14" s="47"/>
      <c r="AN14" s="119"/>
      <c r="AO14" s="54"/>
      <c r="AP14" s="54"/>
      <c r="AQ14" s="54"/>
      <c r="AR14" s="119"/>
      <c r="AS14" s="54"/>
      <c r="AT14" s="54"/>
      <c r="AU14" s="54"/>
      <c r="AV14" s="119"/>
      <c r="AW14" s="54"/>
      <c r="AX14" s="54"/>
      <c r="AY14" s="54"/>
      <c r="AZ14" s="119"/>
      <c r="BA14" s="54"/>
      <c r="BB14" s="54"/>
      <c r="BC14" s="54">
        <v>6</v>
      </c>
      <c r="BD14" s="119">
        <f>BC14*3000</f>
        <v>18000</v>
      </c>
      <c r="BE14" s="54"/>
      <c r="BF14" s="54"/>
      <c r="BG14" s="54">
        <v>25</v>
      </c>
      <c r="BH14" s="119">
        <f>BG14*3000</f>
        <v>75000</v>
      </c>
      <c r="BI14" s="54"/>
      <c r="BJ14" s="180"/>
    </row>
    <row r="15" spans="1:63" s="52" customFormat="1" ht="15" x14ac:dyDescent="0.25">
      <c r="A15" s="25"/>
      <c r="B15" s="209" t="s">
        <v>20</v>
      </c>
      <c r="C15" s="64">
        <f>G15+K15+O15+S15+W15+AA15+AE15+AI15+AM15+AQ15+AU15+AY15+BC15+BG15</f>
        <v>3</v>
      </c>
      <c r="D15" s="64">
        <f>H15+L15+P15+T15+X15+AB15+AF15+AJ15+AN15+AR15+AV15+AZ15+BD15+BH15</f>
        <v>33000</v>
      </c>
      <c r="E15" s="64">
        <f>I15+M15+Q15+U15+Y15+AC15+AG15+AK15+AO15+AS15+AW15+BA15+BE15+BI15</f>
        <v>0</v>
      </c>
      <c r="F15" s="64">
        <f>J15+N15+R15+V15+Z15+AD15+AH15+AL15+AP15+AT15+AX15+BB15+BF15+BJ15</f>
        <v>0</v>
      </c>
      <c r="G15" s="47">
        <v>3</v>
      </c>
      <c r="H15" s="119">
        <f>G15*11000</f>
        <v>33000</v>
      </c>
      <c r="I15" s="54"/>
      <c r="J15" s="54"/>
      <c r="K15" s="54"/>
      <c r="L15" s="119"/>
      <c r="M15" s="54"/>
      <c r="N15" s="54"/>
      <c r="O15" s="54"/>
      <c r="P15" s="119"/>
      <c r="Q15" s="54"/>
      <c r="R15" s="54"/>
      <c r="S15" s="54"/>
      <c r="T15" s="119"/>
      <c r="U15" s="54"/>
      <c r="V15" s="54"/>
      <c r="W15" s="47"/>
      <c r="X15" s="119"/>
      <c r="Y15" s="54"/>
      <c r="Z15" s="54"/>
      <c r="AA15" s="54"/>
      <c r="AB15" s="119"/>
      <c r="AC15" s="54"/>
      <c r="AD15" s="54"/>
      <c r="AE15" s="119"/>
      <c r="AF15" s="119"/>
      <c r="AG15" s="54"/>
      <c r="AH15" s="54"/>
      <c r="AI15" s="54"/>
      <c r="AJ15" s="119"/>
      <c r="AK15" s="54"/>
      <c r="AL15" s="54"/>
      <c r="AM15" s="54"/>
      <c r="AN15" s="119"/>
      <c r="AO15" s="54"/>
      <c r="AP15" s="54"/>
      <c r="AQ15" s="54"/>
      <c r="AR15" s="119"/>
      <c r="AS15" s="54"/>
      <c r="AT15" s="54"/>
      <c r="AU15" s="54"/>
      <c r="AV15" s="119"/>
      <c r="AW15" s="54"/>
      <c r="AX15" s="54"/>
      <c r="AY15" s="54"/>
      <c r="AZ15" s="119"/>
      <c r="BA15" s="54"/>
      <c r="BB15" s="54"/>
      <c r="BC15" s="54"/>
      <c r="BD15" s="119"/>
      <c r="BE15" s="54"/>
      <c r="BF15" s="54"/>
      <c r="BG15" s="54"/>
      <c r="BH15" s="119"/>
      <c r="BI15" s="54"/>
      <c r="BJ15" s="180"/>
    </row>
    <row r="16" spans="1:63" s="52" customFormat="1" x14ac:dyDescent="0.2">
      <c r="A16" s="25"/>
      <c r="B16" s="318" t="s">
        <v>21</v>
      </c>
      <c r="C16" s="64">
        <f t="shared" ref="C16:C47" si="14">G16+K16+O16+S16+W16+AA16+AE16+AI16+AM16+AQ16+AU16+AY16+BC16+BG16</f>
        <v>35</v>
      </c>
      <c r="D16" s="64">
        <f t="shared" ref="D16:D47" si="15">H16+L16+P16+T16+X16+AB16+AF16+AJ16+AN16+AR16+AV16+AZ16+BD16+BH16</f>
        <v>157500</v>
      </c>
      <c r="E16" s="64">
        <f t="shared" si="12"/>
        <v>0</v>
      </c>
      <c r="F16" s="64">
        <f t="shared" si="13"/>
        <v>0</v>
      </c>
      <c r="G16" s="54"/>
      <c r="H16" s="119"/>
      <c r="I16" s="54"/>
      <c r="J16" s="54"/>
      <c r="K16" s="54">
        <v>5</v>
      </c>
      <c r="L16" s="119">
        <f>K16*4500</f>
        <v>22500</v>
      </c>
      <c r="M16" s="54"/>
      <c r="N16" s="54"/>
      <c r="O16" s="54"/>
      <c r="P16" s="119"/>
      <c r="Q16" s="54"/>
      <c r="R16" s="54"/>
      <c r="S16" s="54"/>
      <c r="T16" s="119"/>
      <c r="U16" s="54"/>
      <c r="V16" s="54"/>
      <c r="W16" s="54">
        <v>5</v>
      </c>
      <c r="X16" s="119">
        <f>W16*4500</f>
        <v>22500</v>
      </c>
      <c r="Y16" s="54"/>
      <c r="Z16" s="54"/>
      <c r="AA16" s="54"/>
      <c r="AB16" s="119"/>
      <c r="AC16" s="54"/>
      <c r="AD16" s="54"/>
      <c r="AE16" s="119"/>
      <c r="AF16" s="119"/>
      <c r="AG16" s="54"/>
      <c r="AH16" s="54"/>
      <c r="AI16" s="54">
        <v>5</v>
      </c>
      <c r="AJ16" s="119">
        <f>AI16*4500</f>
        <v>22500</v>
      </c>
      <c r="AK16" s="54"/>
      <c r="AL16" s="54"/>
      <c r="AM16" s="54">
        <v>5</v>
      </c>
      <c r="AN16" s="119">
        <f>AM16*4500</f>
        <v>22500</v>
      </c>
      <c r="AO16" s="54"/>
      <c r="AP16" s="54"/>
      <c r="AQ16" s="54"/>
      <c r="AR16" s="119"/>
      <c r="AS16" s="54"/>
      <c r="AT16" s="54"/>
      <c r="AU16" s="54"/>
      <c r="AV16" s="119"/>
      <c r="AW16" s="54"/>
      <c r="AX16" s="54"/>
      <c r="AY16" s="54"/>
      <c r="AZ16" s="119"/>
      <c r="BA16" s="54"/>
      <c r="BB16" s="54"/>
      <c r="BC16" s="54"/>
      <c r="BD16" s="119"/>
      <c r="BE16" s="54"/>
      <c r="BF16" s="54"/>
      <c r="BG16" s="54">
        <v>15</v>
      </c>
      <c r="BH16" s="119">
        <f>BG16*4500</f>
        <v>67500</v>
      </c>
      <c r="BI16" s="54"/>
      <c r="BJ16" s="180"/>
    </row>
    <row r="17" spans="1:62" s="52" customFormat="1" x14ac:dyDescent="0.2">
      <c r="A17" s="25"/>
      <c r="B17" s="318" t="s">
        <v>23</v>
      </c>
      <c r="C17" s="64">
        <f t="shared" ref="C17:D19" si="16">G17+K17+O17+S17+W17+AA17+AE17+AI17+AM17+AQ17+AU17+AY17+BC17+BG17</f>
        <v>0</v>
      </c>
      <c r="D17" s="64">
        <f t="shared" si="16"/>
        <v>0</v>
      </c>
      <c r="E17" s="64">
        <f t="shared" si="12"/>
        <v>0</v>
      </c>
      <c r="F17" s="64">
        <f t="shared" si="13"/>
        <v>0</v>
      </c>
      <c r="G17" s="54"/>
      <c r="H17" s="119"/>
      <c r="I17" s="54"/>
      <c r="J17" s="54"/>
      <c r="K17" s="54"/>
      <c r="L17" s="119"/>
      <c r="M17" s="54"/>
      <c r="N17" s="54"/>
      <c r="O17" s="54"/>
      <c r="P17" s="119"/>
      <c r="Q17" s="54"/>
      <c r="R17" s="54"/>
      <c r="S17" s="54"/>
      <c r="T17" s="119"/>
      <c r="U17" s="54"/>
      <c r="V17" s="54"/>
      <c r="W17" s="54"/>
      <c r="X17" s="119"/>
      <c r="Y17" s="54"/>
      <c r="Z17" s="54"/>
      <c r="AA17" s="54"/>
      <c r="AB17" s="119"/>
      <c r="AC17" s="54"/>
      <c r="AD17" s="54"/>
      <c r="AE17" s="119"/>
      <c r="AF17" s="119"/>
      <c r="AG17" s="54"/>
      <c r="AH17" s="54"/>
      <c r="AI17" s="54"/>
      <c r="AJ17" s="119"/>
      <c r="AK17" s="54"/>
      <c r="AL17" s="54"/>
      <c r="AM17" s="54"/>
      <c r="AN17" s="119"/>
      <c r="AO17" s="54"/>
      <c r="AP17" s="54"/>
      <c r="AQ17" s="54"/>
      <c r="AR17" s="119"/>
      <c r="AS17" s="54"/>
      <c r="AT17" s="54"/>
      <c r="AU17" s="54"/>
      <c r="AV17" s="119"/>
      <c r="AW17" s="54"/>
      <c r="AX17" s="54"/>
      <c r="AY17" s="54"/>
      <c r="AZ17" s="119"/>
      <c r="BA17" s="54"/>
      <c r="BB17" s="54"/>
      <c r="BC17" s="54"/>
      <c r="BD17" s="119"/>
      <c r="BE17" s="54"/>
      <c r="BF17" s="54"/>
      <c r="BG17" s="54"/>
      <c r="BH17" s="119"/>
      <c r="BI17" s="54"/>
      <c r="BJ17" s="180"/>
    </row>
    <row r="18" spans="1:62" s="38" customFormat="1" x14ac:dyDescent="0.2">
      <c r="A18" s="25"/>
      <c r="B18" s="318" t="s">
        <v>24</v>
      </c>
      <c r="C18" s="64">
        <f t="shared" si="16"/>
        <v>0</v>
      </c>
      <c r="D18" s="64">
        <f t="shared" si="16"/>
        <v>0</v>
      </c>
      <c r="E18" s="64">
        <f t="shared" si="12"/>
        <v>0</v>
      </c>
      <c r="F18" s="64">
        <f t="shared" si="13"/>
        <v>0</v>
      </c>
      <c r="G18" s="54"/>
      <c r="H18" s="119"/>
      <c r="I18" s="54"/>
      <c r="J18" s="54"/>
      <c r="K18" s="54"/>
      <c r="L18" s="119"/>
      <c r="M18" s="54"/>
      <c r="N18" s="54"/>
      <c r="O18" s="54"/>
      <c r="P18" s="119"/>
      <c r="Q18" s="54"/>
      <c r="R18" s="54"/>
      <c r="S18" s="54"/>
      <c r="T18" s="119"/>
      <c r="U18" s="54"/>
      <c r="V18" s="54"/>
      <c r="W18" s="54"/>
      <c r="X18" s="119"/>
      <c r="Y18" s="54"/>
      <c r="Z18" s="54"/>
      <c r="AA18" s="54"/>
      <c r="AB18" s="119"/>
      <c r="AC18" s="54"/>
      <c r="AD18" s="54"/>
      <c r="AE18" s="119"/>
      <c r="AF18" s="119"/>
      <c r="AG18" s="54"/>
      <c r="AH18" s="54"/>
      <c r="AI18" s="54"/>
      <c r="AJ18" s="119"/>
      <c r="AK18" s="54"/>
      <c r="AL18" s="54"/>
      <c r="AM18" s="54"/>
      <c r="AN18" s="119"/>
      <c r="AO18" s="54"/>
      <c r="AP18" s="54"/>
      <c r="AQ18" s="54"/>
      <c r="AR18" s="119"/>
      <c r="AS18" s="54"/>
      <c r="AT18" s="54"/>
      <c r="AU18" s="54"/>
      <c r="AV18" s="119"/>
      <c r="AW18" s="54"/>
      <c r="AX18" s="54"/>
      <c r="AY18" s="54"/>
      <c r="AZ18" s="119"/>
      <c r="BA18" s="54"/>
      <c r="BB18" s="54"/>
      <c r="BC18" s="54"/>
      <c r="BD18" s="119"/>
      <c r="BE18" s="54"/>
      <c r="BF18" s="54"/>
      <c r="BG18" s="54"/>
      <c r="BH18" s="119"/>
      <c r="BI18" s="54"/>
      <c r="BJ18" s="180"/>
    </row>
    <row r="19" spans="1:62" s="38" customFormat="1" ht="15" x14ac:dyDescent="0.25">
      <c r="A19" s="25"/>
      <c r="B19" s="48" t="s">
        <v>25</v>
      </c>
      <c r="C19" s="64">
        <f t="shared" si="16"/>
        <v>20</v>
      </c>
      <c r="D19" s="64">
        <f t="shared" si="16"/>
        <v>14000</v>
      </c>
      <c r="E19" s="64">
        <f t="shared" si="12"/>
        <v>0</v>
      </c>
      <c r="F19" s="64">
        <f t="shared" si="13"/>
        <v>0</v>
      </c>
      <c r="G19" s="47"/>
      <c r="H19" s="119"/>
      <c r="I19" s="54"/>
      <c r="J19" s="54"/>
      <c r="K19" s="54"/>
      <c r="L19" s="119"/>
      <c r="M19" s="54"/>
      <c r="N19" s="54"/>
      <c r="O19" s="47"/>
      <c r="P19" s="119"/>
      <c r="Q19" s="54"/>
      <c r="R19" s="54"/>
      <c r="S19" s="47"/>
      <c r="T19" s="119"/>
      <c r="U19" s="54"/>
      <c r="V19" s="54"/>
      <c r="W19" s="47"/>
      <c r="X19" s="119"/>
      <c r="Y19" s="54"/>
      <c r="Z19" s="54"/>
      <c r="AA19" s="54"/>
      <c r="AB19" s="119"/>
      <c r="AC19" s="54"/>
      <c r="AD19" s="54"/>
      <c r="AE19" s="119"/>
      <c r="AF19" s="119"/>
      <c r="AG19" s="54"/>
      <c r="AH19" s="54"/>
      <c r="AI19" s="54"/>
      <c r="AJ19" s="119"/>
      <c r="AK19" s="54"/>
      <c r="AL19" s="54"/>
      <c r="AM19" s="54"/>
      <c r="AN19" s="119"/>
      <c r="AO19" s="54"/>
      <c r="AP19" s="54"/>
      <c r="AQ19" s="54"/>
      <c r="AR19" s="119"/>
      <c r="AS19" s="54"/>
      <c r="AT19" s="54"/>
      <c r="AU19" s="54"/>
      <c r="AV19" s="119"/>
      <c r="AW19" s="54"/>
      <c r="AX19" s="54"/>
      <c r="AY19" s="54"/>
      <c r="AZ19" s="119"/>
      <c r="BA19" s="54"/>
      <c r="BB19" s="54"/>
      <c r="BC19" s="54"/>
      <c r="BD19" s="119"/>
      <c r="BE19" s="54"/>
      <c r="BF19" s="54"/>
      <c r="BG19" s="47">
        <v>20</v>
      </c>
      <c r="BH19" s="47">
        <f>BG19*700</f>
        <v>14000</v>
      </c>
      <c r="BI19" s="54"/>
      <c r="BJ19" s="180"/>
    </row>
    <row r="20" spans="1:62" s="38" customFormat="1" ht="15" x14ac:dyDescent="0.25">
      <c r="A20" s="25"/>
      <c r="B20" s="209" t="s">
        <v>26</v>
      </c>
      <c r="C20" s="64">
        <f t="shared" si="14"/>
        <v>0</v>
      </c>
      <c r="D20" s="64">
        <f t="shared" si="15"/>
        <v>0</v>
      </c>
      <c r="E20" s="64">
        <f t="shared" si="12"/>
        <v>0</v>
      </c>
      <c r="F20" s="64">
        <f t="shared" si="13"/>
        <v>0</v>
      </c>
      <c r="G20" s="54"/>
      <c r="H20" s="119"/>
      <c r="I20" s="54"/>
      <c r="J20" s="54"/>
      <c r="K20" s="54"/>
      <c r="L20" s="119"/>
      <c r="M20" s="54"/>
      <c r="N20" s="54"/>
      <c r="O20" s="54"/>
      <c r="P20" s="119"/>
      <c r="Q20" s="54"/>
      <c r="R20" s="54"/>
      <c r="S20" s="54"/>
      <c r="T20" s="119"/>
      <c r="U20" s="54"/>
      <c r="V20" s="54"/>
      <c r="W20" s="54"/>
      <c r="X20" s="119"/>
      <c r="Y20" s="54"/>
      <c r="Z20" s="54"/>
      <c r="AA20" s="54"/>
      <c r="AB20" s="119"/>
      <c r="AC20" s="54"/>
      <c r="AD20" s="54"/>
      <c r="AE20" s="119"/>
      <c r="AF20" s="119"/>
      <c r="AG20" s="54"/>
      <c r="AH20" s="54"/>
      <c r="AI20" s="54"/>
      <c r="AJ20" s="119"/>
      <c r="AK20" s="54"/>
      <c r="AL20" s="54"/>
      <c r="AM20" s="54"/>
      <c r="AN20" s="119"/>
      <c r="AO20" s="54"/>
      <c r="AP20" s="54"/>
      <c r="AQ20" s="54"/>
      <c r="AR20" s="119"/>
      <c r="AS20" s="54"/>
      <c r="AT20" s="54"/>
      <c r="AU20" s="54"/>
      <c r="AV20" s="119"/>
      <c r="AW20" s="54"/>
      <c r="AX20" s="54"/>
      <c r="AY20" s="54"/>
      <c r="AZ20" s="119"/>
      <c r="BA20" s="54"/>
      <c r="BB20" s="54"/>
      <c r="BC20" s="47"/>
      <c r="BD20" s="119"/>
      <c r="BE20" s="54"/>
      <c r="BF20" s="54"/>
      <c r="BG20" s="54"/>
      <c r="BH20" s="119"/>
      <c r="BI20" s="54"/>
      <c r="BJ20" s="180"/>
    </row>
    <row r="21" spans="1:62" s="38" customFormat="1" ht="15" x14ac:dyDescent="0.25">
      <c r="A21" s="25"/>
      <c r="B21" s="209" t="s">
        <v>27</v>
      </c>
      <c r="C21" s="64">
        <f t="shared" si="14"/>
        <v>12</v>
      </c>
      <c r="D21" s="64">
        <f t="shared" si="15"/>
        <v>18000</v>
      </c>
      <c r="E21" s="64">
        <f t="shared" si="12"/>
        <v>0</v>
      </c>
      <c r="F21" s="64">
        <f t="shared" si="13"/>
        <v>0</v>
      </c>
      <c r="G21" s="54"/>
      <c r="H21" s="119"/>
      <c r="I21" s="54"/>
      <c r="J21" s="54"/>
      <c r="K21" s="54"/>
      <c r="L21" s="119"/>
      <c r="M21" s="54"/>
      <c r="N21" s="54"/>
      <c r="O21" s="54"/>
      <c r="P21" s="119"/>
      <c r="Q21" s="54"/>
      <c r="R21" s="54"/>
      <c r="S21" s="54"/>
      <c r="T21" s="119"/>
      <c r="U21" s="54"/>
      <c r="V21" s="54"/>
      <c r="W21" s="54"/>
      <c r="X21" s="119"/>
      <c r="Y21" s="54"/>
      <c r="Z21" s="54"/>
      <c r="AA21" s="54"/>
      <c r="AB21" s="119"/>
      <c r="AC21" s="54"/>
      <c r="AD21" s="54"/>
      <c r="AE21" s="47"/>
      <c r="AF21" s="119"/>
      <c r="AG21" s="54"/>
      <c r="AH21" s="54"/>
      <c r="AI21" s="54"/>
      <c r="AJ21" s="119"/>
      <c r="AK21" s="54"/>
      <c r="AL21" s="54"/>
      <c r="AM21" s="54"/>
      <c r="AN21" s="119"/>
      <c r="AO21" s="54"/>
      <c r="AP21" s="54"/>
      <c r="AQ21" s="54"/>
      <c r="AR21" s="119"/>
      <c r="AS21" s="54"/>
      <c r="AT21" s="54"/>
      <c r="AU21" s="54"/>
      <c r="AV21" s="119"/>
      <c r="AW21" s="54"/>
      <c r="AX21" s="54"/>
      <c r="AY21" s="54"/>
      <c r="AZ21" s="119"/>
      <c r="BA21" s="54"/>
      <c r="BB21" s="54"/>
      <c r="BC21" s="54"/>
      <c r="BD21" s="119"/>
      <c r="BE21" s="54"/>
      <c r="BF21" s="54"/>
      <c r="BG21" s="54">
        <v>12</v>
      </c>
      <c r="BH21" s="119">
        <f>BG21*1500</f>
        <v>18000</v>
      </c>
      <c r="BI21" s="54"/>
      <c r="BJ21" s="180"/>
    </row>
    <row r="22" spans="1:62" s="38" customFormat="1" x14ac:dyDescent="0.2">
      <c r="A22" s="25"/>
      <c r="B22" s="48" t="s">
        <v>28</v>
      </c>
      <c r="C22" s="64">
        <f t="shared" si="14"/>
        <v>11</v>
      </c>
      <c r="D22" s="64">
        <f t="shared" si="15"/>
        <v>44000</v>
      </c>
      <c r="E22" s="64">
        <f t="shared" si="12"/>
        <v>0</v>
      </c>
      <c r="F22" s="64">
        <f t="shared" si="13"/>
        <v>0</v>
      </c>
      <c r="G22" s="54"/>
      <c r="H22" s="119"/>
      <c r="I22" s="54"/>
      <c r="J22" s="54"/>
      <c r="K22" s="54">
        <v>4</v>
      </c>
      <c r="L22" s="119">
        <f>K22*4000</f>
        <v>16000</v>
      </c>
      <c r="M22" s="54"/>
      <c r="N22" s="54"/>
      <c r="O22" s="54">
        <v>1</v>
      </c>
      <c r="P22" s="119">
        <f>O22*4000</f>
        <v>4000</v>
      </c>
      <c r="Q22" s="54"/>
      <c r="R22" s="54"/>
      <c r="S22" s="54"/>
      <c r="T22" s="119"/>
      <c r="U22" s="54"/>
      <c r="V22" s="54"/>
      <c r="W22" s="54"/>
      <c r="X22" s="119"/>
      <c r="Y22" s="54"/>
      <c r="Z22" s="54"/>
      <c r="AA22" s="54"/>
      <c r="AB22" s="119"/>
      <c r="AC22" s="54"/>
      <c r="AD22" s="54"/>
      <c r="AE22" s="119">
        <v>4</v>
      </c>
      <c r="AF22" s="119">
        <f>AE22*4000</f>
        <v>16000</v>
      </c>
      <c r="AG22" s="54"/>
      <c r="AH22" s="54"/>
      <c r="AI22" s="54"/>
      <c r="AJ22" s="119"/>
      <c r="AK22" s="54"/>
      <c r="AL22" s="54"/>
      <c r="AM22" s="54">
        <v>2</v>
      </c>
      <c r="AN22" s="119">
        <f>AM22*4000</f>
        <v>8000</v>
      </c>
      <c r="AO22" s="54"/>
      <c r="AP22" s="54"/>
      <c r="AQ22" s="54"/>
      <c r="AR22" s="119"/>
      <c r="AS22" s="54"/>
      <c r="AT22" s="54"/>
      <c r="AU22" s="54"/>
      <c r="AV22" s="119"/>
      <c r="AW22" s="54"/>
      <c r="AX22" s="54"/>
      <c r="AY22" s="54"/>
      <c r="AZ22" s="119"/>
      <c r="BA22" s="54"/>
      <c r="BB22" s="54"/>
      <c r="BC22" s="54"/>
      <c r="BD22" s="119"/>
      <c r="BE22" s="54"/>
      <c r="BF22" s="54"/>
      <c r="BG22" s="54"/>
      <c r="BH22" s="119"/>
      <c r="BI22" s="54"/>
      <c r="BJ22" s="180"/>
    </row>
    <row r="23" spans="1:62" s="38" customFormat="1" x14ac:dyDescent="0.2">
      <c r="A23" s="25"/>
      <c r="B23" s="48" t="s">
        <v>29</v>
      </c>
      <c r="C23" s="64">
        <f t="shared" si="14"/>
        <v>0</v>
      </c>
      <c r="D23" s="64">
        <f t="shared" si="15"/>
        <v>0</v>
      </c>
      <c r="E23" s="64">
        <f t="shared" si="12"/>
        <v>0</v>
      </c>
      <c r="F23" s="64">
        <f t="shared" si="13"/>
        <v>0</v>
      </c>
      <c r="G23" s="54"/>
      <c r="H23" s="119"/>
      <c r="I23" s="54"/>
      <c r="J23" s="54"/>
      <c r="K23" s="54"/>
      <c r="L23" s="119"/>
      <c r="M23" s="54"/>
      <c r="N23" s="54"/>
      <c r="O23" s="54"/>
      <c r="P23" s="119"/>
      <c r="Q23" s="54"/>
      <c r="R23" s="54"/>
      <c r="S23" s="54"/>
      <c r="T23" s="119"/>
      <c r="U23" s="54"/>
      <c r="V23" s="54"/>
      <c r="W23" s="54"/>
      <c r="X23" s="119"/>
      <c r="Y23" s="54"/>
      <c r="Z23" s="54"/>
      <c r="AA23" s="54"/>
      <c r="AB23" s="119"/>
      <c r="AC23" s="54"/>
      <c r="AD23" s="54"/>
      <c r="AE23" s="119"/>
      <c r="AF23" s="119"/>
      <c r="AG23" s="54"/>
      <c r="AH23" s="54"/>
      <c r="AI23" s="54"/>
      <c r="AJ23" s="119"/>
      <c r="AK23" s="54"/>
      <c r="AL23" s="54"/>
      <c r="AM23" s="54"/>
      <c r="AN23" s="119"/>
      <c r="AO23" s="54"/>
      <c r="AP23" s="54"/>
      <c r="AQ23" s="54"/>
      <c r="AR23" s="119"/>
      <c r="AS23" s="54"/>
      <c r="AT23" s="54"/>
      <c r="AU23" s="54"/>
      <c r="AV23" s="119"/>
      <c r="AW23" s="54"/>
      <c r="AX23" s="54"/>
      <c r="AY23" s="54"/>
      <c r="AZ23" s="119"/>
      <c r="BA23" s="54"/>
      <c r="BB23" s="54"/>
      <c r="BC23" s="54"/>
      <c r="BD23" s="119"/>
      <c r="BE23" s="54"/>
      <c r="BF23" s="54"/>
      <c r="BG23" s="54"/>
      <c r="BH23" s="119"/>
      <c r="BI23" s="54"/>
      <c r="BJ23" s="180"/>
    </row>
    <row r="24" spans="1:62" s="38" customFormat="1" x14ac:dyDescent="0.2">
      <c r="A24" s="25"/>
      <c r="B24" s="48" t="s">
        <v>30</v>
      </c>
      <c r="C24" s="64">
        <f t="shared" si="14"/>
        <v>2</v>
      </c>
      <c r="D24" s="64">
        <f t="shared" si="15"/>
        <v>6000</v>
      </c>
      <c r="E24" s="64">
        <f t="shared" si="12"/>
        <v>0</v>
      </c>
      <c r="F24" s="64">
        <f t="shared" si="13"/>
        <v>0</v>
      </c>
      <c r="G24" s="54"/>
      <c r="H24" s="119"/>
      <c r="I24" s="54"/>
      <c r="J24" s="54"/>
      <c r="K24" s="54"/>
      <c r="L24" s="119"/>
      <c r="M24" s="54"/>
      <c r="N24" s="54"/>
      <c r="O24" s="54"/>
      <c r="P24" s="119"/>
      <c r="Q24" s="54"/>
      <c r="R24" s="54"/>
      <c r="S24" s="54"/>
      <c r="T24" s="119"/>
      <c r="U24" s="54"/>
      <c r="V24" s="54"/>
      <c r="W24" s="54">
        <v>2</v>
      </c>
      <c r="X24" s="119">
        <f>W24*3000</f>
        <v>6000</v>
      </c>
      <c r="Y24" s="54"/>
      <c r="Z24" s="54"/>
      <c r="AA24" s="54"/>
      <c r="AB24" s="119"/>
      <c r="AC24" s="54"/>
      <c r="AD24" s="54"/>
      <c r="AE24" s="119"/>
      <c r="AF24" s="119"/>
      <c r="AG24" s="54"/>
      <c r="AH24" s="54"/>
      <c r="AI24" s="54"/>
      <c r="AJ24" s="119"/>
      <c r="AK24" s="54"/>
      <c r="AL24" s="54"/>
      <c r="AM24" s="54"/>
      <c r="AN24" s="119"/>
      <c r="AO24" s="54"/>
      <c r="AP24" s="54"/>
      <c r="AQ24" s="54"/>
      <c r="AR24" s="119"/>
      <c r="AS24" s="54"/>
      <c r="AT24" s="54"/>
      <c r="AU24" s="54"/>
      <c r="AV24" s="119"/>
      <c r="AW24" s="54"/>
      <c r="AX24" s="54"/>
      <c r="AY24" s="54"/>
      <c r="AZ24" s="119"/>
      <c r="BA24" s="54"/>
      <c r="BB24" s="54"/>
      <c r="BC24" s="54"/>
      <c r="BD24" s="119"/>
      <c r="BE24" s="54"/>
      <c r="BF24" s="54"/>
      <c r="BG24" s="54"/>
      <c r="BH24" s="119"/>
      <c r="BI24" s="54"/>
      <c r="BJ24" s="180"/>
    </row>
    <row r="25" spans="1:62" s="38" customFormat="1" x14ac:dyDescent="0.2">
      <c r="A25" s="25"/>
      <c r="B25" s="48" t="s">
        <v>31</v>
      </c>
      <c r="C25" s="64">
        <f t="shared" si="14"/>
        <v>3</v>
      </c>
      <c r="D25" s="64">
        <f t="shared" si="15"/>
        <v>12000</v>
      </c>
      <c r="E25" s="64">
        <f t="shared" si="12"/>
        <v>0</v>
      </c>
      <c r="F25" s="64">
        <f t="shared" si="13"/>
        <v>0</v>
      </c>
      <c r="G25" s="54"/>
      <c r="H25" s="119"/>
      <c r="I25" s="54"/>
      <c r="J25" s="54"/>
      <c r="K25" s="54"/>
      <c r="L25" s="119"/>
      <c r="M25" s="54"/>
      <c r="N25" s="54"/>
      <c r="O25" s="54"/>
      <c r="P25" s="119"/>
      <c r="Q25" s="54"/>
      <c r="R25" s="54"/>
      <c r="S25" s="54"/>
      <c r="T25" s="119"/>
      <c r="U25" s="54"/>
      <c r="V25" s="54"/>
      <c r="W25" s="54">
        <v>3</v>
      </c>
      <c r="X25" s="119">
        <f>W25*4000</f>
        <v>12000</v>
      </c>
      <c r="Y25" s="54"/>
      <c r="Z25" s="54"/>
      <c r="AA25" s="54"/>
      <c r="AB25" s="119"/>
      <c r="AC25" s="54"/>
      <c r="AD25" s="54"/>
      <c r="AE25" s="119"/>
      <c r="AF25" s="119"/>
      <c r="AG25" s="54"/>
      <c r="AH25" s="54"/>
      <c r="AI25" s="54"/>
      <c r="AJ25" s="119"/>
      <c r="AK25" s="54"/>
      <c r="AL25" s="54"/>
      <c r="AM25" s="54"/>
      <c r="AN25" s="119"/>
      <c r="AO25" s="54"/>
      <c r="AP25" s="54"/>
      <c r="AQ25" s="54"/>
      <c r="AR25" s="119"/>
      <c r="AS25" s="54"/>
      <c r="AT25" s="54"/>
      <c r="AU25" s="54"/>
      <c r="AV25" s="119"/>
      <c r="AW25" s="54"/>
      <c r="AX25" s="54"/>
      <c r="AY25" s="54"/>
      <c r="AZ25" s="119"/>
      <c r="BA25" s="54"/>
      <c r="BB25" s="54"/>
      <c r="BC25" s="54"/>
      <c r="BD25" s="119"/>
      <c r="BE25" s="54"/>
      <c r="BF25" s="54"/>
      <c r="BG25" s="54"/>
      <c r="BH25" s="119"/>
      <c r="BI25" s="54"/>
      <c r="BJ25" s="180"/>
    </row>
    <row r="26" spans="1:62" s="38" customFormat="1" ht="15" x14ac:dyDescent="0.25">
      <c r="A26" s="25"/>
      <c r="B26" s="209" t="s">
        <v>32</v>
      </c>
      <c r="C26" s="64">
        <f t="shared" si="14"/>
        <v>152</v>
      </c>
      <c r="D26" s="64">
        <f t="shared" si="15"/>
        <v>380000</v>
      </c>
      <c r="E26" s="64">
        <f t="shared" si="12"/>
        <v>0</v>
      </c>
      <c r="F26" s="64">
        <f t="shared" si="13"/>
        <v>0</v>
      </c>
      <c r="G26" s="54">
        <v>15</v>
      </c>
      <c r="H26" s="119">
        <f>G26*2500</f>
        <v>37500</v>
      </c>
      <c r="I26" s="54"/>
      <c r="J26" s="54"/>
      <c r="K26" s="54">
        <v>20</v>
      </c>
      <c r="L26" s="119">
        <f>K26*2500</f>
        <v>50000</v>
      </c>
      <c r="M26" s="54"/>
      <c r="N26" s="54"/>
      <c r="O26" s="54">
        <v>20</v>
      </c>
      <c r="P26" s="119">
        <f>O26*2500</f>
        <v>50000</v>
      </c>
      <c r="Q26" s="54"/>
      <c r="R26" s="119"/>
      <c r="S26" s="54"/>
      <c r="T26" s="119"/>
      <c r="U26" s="54"/>
      <c r="V26" s="54"/>
      <c r="W26" s="54">
        <v>12</v>
      </c>
      <c r="X26" s="119">
        <f>W26*2500</f>
        <v>30000</v>
      </c>
      <c r="Y26" s="54"/>
      <c r="Z26" s="54"/>
      <c r="AA26" s="54"/>
      <c r="AB26" s="119"/>
      <c r="AC26" s="54"/>
      <c r="AD26" s="54"/>
      <c r="AE26" s="47">
        <v>20</v>
      </c>
      <c r="AF26" s="119">
        <f>AE26*2500</f>
        <v>50000</v>
      </c>
      <c r="AG26" s="54"/>
      <c r="AH26" s="54"/>
      <c r="AI26" s="54"/>
      <c r="AJ26" s="119"/>
      <c r="AK26" s="54"/>
      <c r="AL26" s="54"/>
      <c r="AM26" s="54">
        <v>10</v>
      </c>
      <c r="AN26" s="119">
        <f>AM26*2500</f>
        <v>25000</v>
      </c>
      <c r="AO26" s="54"/>
      <c r="AP26" s="54"/>
      <c r="AQ26" s="54"/>
      <c r="AR26" s="119"/>
      <c r="AS26" s="54"/>
      <c r="AT26" s="54"/>
      <c r="AU26" s="54"/>
      <c r="AV26" s="119"/>
      <c r="AW26" s="54"/>
      <c r="AX26" s="54"/>
      <c r="AY26" s="54">
        <v>20</v>
      </c>
      <c r="AZ26" s="119">
        <f>AY26*2500</f>
        <v>50000</v>
      </c>
      <c r="BA26" s="54"/>
      <c r="BB26" s="54"/>
      <c r="BC26" s="47">
        <v>15</v>
      </c>
      <c r="BD26" s="119">
        <f>BC26*2500</f>
        <v>37500</v>
      </c>
      <c r="BE26" s="54"/>
      <c r="BF26" s="54"/>
      <c r="BG26" s="54">
        <v>20</v>
      </c>
      <c r="BH26" s="119">
        <f>BG26*2500</f>
        <v>50000</v>
      </c>
      <c r="BI26" s="54"/>
      <c r="BJ26" s="180"/>
    </row>
    <row r="27" spans="1:62" s="38" customFormat="1" ht="15" x14ac:dyDescent="0.25">
      <c r="A27" s="25"/>
      <c r="B27" s="209" t="s">
        <v>33</v>
      </c>
      <c r="C27" s="64">
        <f t="shared" si="14"/>
        <v>89</v>
      </c>
      <c r="D27" s="64">
        <f t="shared" si="15"/>
        <v>222500</v>
      </c>
      <c r="E27" s="64">
        <f t="shared" si="12"/>
        <v>0</v>
      </c>
      <c r="F27" s="64">
        <f t="shared" si="13"/>
        <v>0</v>
      </c>
      <c r="G27" s="47">
        <v>15</v>
      </c>
      <c r="H27" s="119">
        <f>G27*2500</f>
        <v>37500</v>
      </c>
      <c r="I27" s="54"/>
      <c r="J27" s="54"/>
      <c r="K27" s="54">
        <v>4</v>
      </c>
      <c r="L27" s="119">
        <f>K27*2500</f>
        <v>10000</v>
      </c>
      <c r="M27" s="54"/>
      <c r="N27" s="54"/>
      <c r="O27" s="54">
        <v>20</v>
      </c>
      <c r="P27" s="119">
        <f>O27*2500</f>
        <v>50000</v>
      </c>
      <c r="Q27" s="54"/>
      <c r="R27" s="119"/>
      <c r="S27" s="54"/>
      <c r="T27" s="119"/>
      <c r="U27" s="54"/>
      <c r="V27" s="54"/>
      <c r="W27" s="47">
        <v>15</v>
      </c>
      <c r="X27" s="119">
        <f>W27*2500</f>
        <v>37500</v>
      </c>
      <c r="Y27" s="54"/>
      <c r="Z27" s="54"/>
      <c r="AA27" s="54">
        <v>15</v>
      </c>
      <c r="AB27" s="119">
        <f>AA27*2500</f>
        <v>37500</v>
      </c>
      <c r="AC27" s="54"/>
      <c r="AD27" s="54"/>
      <c r="AE27" s="47">
        <v>10</v>
      </c>
      <c r="AF27" s="119">
        <f>AE27*2500</f>
        <v>25000</v>
      </c>
      <c r="AG27" s="54"/>
      <c r="AH27" s="54"/>
      <c r="AI27" s="54"/>
      <c r="AJ27" s="119"/>
      <c r="AK27" s="54"/>
      <c r="AL27" s="54"/>
      <c r="AM27" s="54"/>
      <c r="AN27" s="119"/>
      <c r="AO27" s="54"/>
      <c r="AP27" s="54"/>
      <c r="AQ27" s="54"/>
      <c r="AR27" s="119"/>
      <c r="AS27" s="54"/>
      <c r="AT27" s="54"/>
      <c r="AU27" s="54"/>
      <c r="AV27" s="119"/>
      <c r="AW27" s="54"/>
      <c r="AX27" s="54"/>
      <c r="AY27" s="54"/>
      <c r="AZ27" s="119"/>
      <c r="BA27" s="54"/>
      <c r="BB27" s="54"/>
      <c r="BC27" s="54"/>
      <c r="BD27" s="119"/>
      <c r="BE27" s="54"/>
      <c r="BF27" s="54"/>
      <c r="BG27" s="47">
        <v>10</v>
      </c>
      <c r="BH27" s="119">
        <f>BG27*2500</f>
        <v>25000</v>
      </c>
      <c r="BI27" s="54"/>
      <c r="BJ27" s="180"/>
    </row>
    <row r="28" spans="1:62" s="38" customFormat="1" x14ac:dyDescent="0.2">
      <c r="A28" s="25"/>
      <c r="B28" s="209" t="s">
        <v>35</v>
      </c>
      <c r="C28" s="64">
        <f t="shared" si="14"/>
        <v>128</v>
      </c>
      <c r="D28" s="64">
        <f t="shared" si="15"/>
        <v>256000</v>
      </c>
      <c r="E28" s="64">
        <f t="shared" si="12"/>
        <v>0</v>
      </c>
      <c r="F28" s="64">
        <f t="shared" si="13"/>
        <v>0</v>
      </c>
      <c r="G28" s="54">
        <v>20</v>
      </c>
      <c r="H28" s="119">
        <f>G28*2000</f>
        <v>40000</v>
      </c>
      <c r="I28" s="54"/>
      <c r="J28" s="54"/>
      <c r="K28" s="54">
        <v>6</v>
      </c>
      <c r="L28" s="119">
        <f>K28*2000</f>
        <v>12000</v>
      </c>
      <c r="M28" s="54"/>
      <c r="N28" s="54"/>
      <c r="O28" s="54"/>
      <c r="P28" s="119">
        <f>O28*2000</f>
        <v>0</v>
      </c>
      <c r="Q28" s="54"/>
      <c r="R28" s="119"/>
      <c r="S28" s="54"/>
      <c r="T28" s="119"/>
      <c r="U28" s="54"/>
      <c r="V28" s="54"/>
      <c r="W28" s="54">
        <v>12</v>
      </c>
      <c r="X28" s="119">
        <f>W28*2000</f>
        <v>24000</v>
      </c>
      <c r="Y28" s="54"/>
      <c r="Z28" s="54"/>
      <c r="AA28" s="54">
        <v>15</v>
      </c>
      <c r="AB28" s="119">
        <f>AA28*2000</f>
        <v>30000</v>
      </c>
      <c r="AC28" s="54"/>
      <c r="AD28" s="54"/>
      <c r="AE28" s="54">
        <v>15</v>
      </c>
      <c r="AF28" s="119">
        <f>AE28*2000</f>
        <v>30000</v>
      </c>
      <c r="AG28" s="54"/>
      <c r="AH28" s="54"/>
      <c r="AI28" s="54"/>
      <c r="AJ28" s="119"/>
      <c r="AK28" s="54"/>
      <c r="AL28" s="54"/>
      <c r="AM28" s="54">
        <v>10</v>
      </c>
      <c r="AN28" s="119">
        <f>AM28*2000</f>
        <v>20000</v>
      </c>
      <c r="AO28" s="54"/>
      <c r="AP28" s="54"/>
      <c r="AQ28" s="54"/>
      <c r="AR28" s="119"/>
      <c r="AS28" s="54"/>
      <c r="AT28" s="54"/>
      <c r="AU28" s="54"/>
      <c r="AV28" s="119"/>
      <c r="AW28" s="54"/>
      <c r="AX28" s="54"/>
      <c r="AY28" s="54">
        <v>20</v>
      </c>
      <c r="AZ28" s="119">
        <f>AY28*2000</f>
        <v>40000</v>
      </c>
      <c r="BA28" s="54"/>
      <c r="BB28" s="54"/>
      <c r="BC28" s="54">
        <v>10</v>
      </c>
      <c r="BD28" s="119">
        <f>BC28*2000</f>
        <v>20000</v>
      </c>
      <c r="BE28" s="54"/>
      <c r="BF28" s="54"/>
      <c r="BG28" s="54">
        <v>20</v>
      </c>
      <c r="BH28" s="119">
        <f>BG28*2000</f>
        <v>40000</v>
      </c>
      <c r="BI28" s="54"/>
      <c r="BJ28" s="180"/>
    </row>
    <row r="29" spans="1:62" s="38" customFormat="1" ht="15" x14ac:dyDescent="0.25">
      <c r="A29" s="25"/>
      <c r="B29" s="209" t="s">
        <v>36</v>
      </c>
      <c r="C29" s="64">
        <f t="shared" si="14"/>
        <v>13</v>
      </c>
      <c r="D29" s="64">
        <f t="shared" si="15"/>
        <v>65000</v>
      </c>
      <c r="E29" s="64">
        <f t="shared" si="12"/>
        <v>0</v>
      </c>
      <c r="F29" s="64">
        <f t="shared" si="13"/>
        <v>0</v>
      </c>
      <c r="G29" s="54">
        <v>6</v>
      </c>
      <c r="H29" s="119">
        <f>G29*5000</f>
        <v>30000</v>
      </c>
      <c r="I29" s="54"/>
      <c r="J29" s="54"/>
      <c r="K29" s="54">
        <v>1</v>
      </c>
      <c r="L29" s="119">
        <f>K29*5000</f>
        <v>5000</v>
      </c>
      <c r="M29" s="54"/>
      <c r="N29" s="54"/>
      <c r="O29" s="54">
        <v>1</v>
      </c>
      <c r="P29" s="119">
        <f>O29*5000</f>
        <v>5000</v>
      </c>
      <c r="Q29" s="54"/>
      <c r="R29" s="119"/>
      <c r="S29" s="54"/>
      <c r="T29" s="119"/>
      <c r="U29" s="54"/>
      <c r="V29" s="54"/>
      <c r="W29" s="54">
        <v>1</v>
      </c>
      <c r="X29" s="119">
        <f>W29*5000</f>
        <v>5000</v>
      </c>
      <c r="Y29" s="54"/>
      <c r="Z29" s="54"/>
      <c r="AA29" s="54"/>
      <c r="AB29" s="119"/>
      <c r="AC29" s="54"/>
      <c r="AD29" s="54"/>
      <c r="AE29" s="54"/>
      <c r="AF29" s="119"/>
      <c r="AG29" s="54"/>
      <c r="AH29" s="54"/>
      <c r="AI29" s="54"/>
      <c r="AJ29" s="119"/>
      <c r="AK29" s="54"/>
      <c r="AL29" s="54"/>
      <c r="AM29" s="54"/>
      <c r="AN29" s="119"/>
      <c r="AO29" s="54"/>
      <c r="AP29" s="54"/>
      <c r="AQ29" s="54">
        <v>2</v>
      </c>
      <c r="AR29" s="119">
        <f>AQ29*5000</f>
        <v>10000</v>
      </c>
      <c r="AS29" s="54"/>
      <c r="AT29" s="54"/>
      <c r="AU29" s="54"/>
      <c r="AV29" s="119"/>
      <c r="AW29" s="54"/>
      <c r="AX29" s="54"/>
      <c r="AY29" s="54"/>
      <c r="AZ29" s="119"/>
      <c r="BA29" s="54"/>
      <c r="BB29" s="54"/>
      <c r="BC29" s="54">
        <v>1</v>
      </c>
      <c r="BD29" s="119">
        <f>BC29*5000</f>
        <v>5000</v>
      </c>
      <c r="BE29" s="54"/>
      <c r="BF29" s="54"/>
      <c r="BG29" s="47">
        <v>1</v>
      </c>
      <c r="BH29" s="119">
        <f>BG29*5000</f>
        <v>5000</v>
      </c>
      <c r="BI29" s="54"/>
      <c r="BJ29" s="180"/>
    </row>
    <row r="30" spans="1:62" s="38" customFormat="1" ht="15" x14ac:dyDescent="0.25">
      <c r="A30" s="25"/>
      <c r="B30" s="209" t="s">
        <v>37</v>
      </c>
      <c r="C30" s="64">
        <f t="shared" si="14"/>
        <v>15</v>
      </c>
      <c r="D30" s="64">
        <f t="shared" si="15"/>
        <v>45000</v>
      </c>
      <c r="E30" s="64">
        <f t="shared" si="12"/>
        <v>0</v>
      </c>
      <c r="F30" s="64">
        <f t="shared" si="13"/>
        <v>0</v>
      </c>
      <c r="G30" s="47">
        <v>10</v>
      </c>
      <c r="H30" s="119">
        <f>G30*3000</f>
        <v>30000</v>
      </c>
      <c r="I30" s="54"/>
      <c r="J30" s="54"/>
      <c r="K30" s="54"/>
      <c r="L30" s="119">
        <f>K30*3000</f>
        <v>0</v>
      </c>
      <c r="M30" s="54"/>
      <c r="N30" s="54"/>
      <c r="O30" s="54"/>
      <c r="P30" s="119"/>
      <c r="Q30" s="54"/>
      <c r="R30" s="54"/>
      <c r="S30" s="54"/>
      <c r="T30" s="119"/>
      <c r="U30" s="54"/>
      <c r="V30" s="54"/>
      <c r="W30" s="54"/>
      <c r="X30" s="119">
        <f>W30*3000</f>
        <v>0</v>
      </c>
      <c r="Y30" s="54"/>
      <c r="Z30" s="54"/>
      <c r="AA30" s="54"/>
      <c r="AB30" s="119"/>
      <c r="AC30" s="54"/>
      <c r="AD30" s="54"/>
      <c r="AE30" s="54"/>
      <c r="AF30" s="119">
        <f>AE30*3000</f>
        <v>0</v>
      </c>
      <c r="AG30" s="54"/>
      <c r="AH30" s="54"/>
      <c r="AI30" s="54"/>
      <c r="AJ30" s="119"/>
      <c r="AK30" s="54"/>
      <c r="AL30" s="54"/>
      <c r="AM30" s="54"/>
      <c r="AN30" s="119"/>
      <c r="AO30" s="54"/>
      <c r="AP30" s="54"/>
      <c r="AQ30" s="54"/>
      <c r="AR30" s="119"/>
      <c r="AS30" s="54"/>
      <c r="AT30" s="54"/>
      <c r="AU30" s="54"/>
      <c r="AV30" s="119"/>
      <c r="AW30" s="54"/>
      <c r="AX30" s="54"/>
      <c r="AY30" s="54"/>
      <c r="AZ30" s="119"/>
      <c r="BA30" s="54"/>
      <c r="BB30" s="54"/>
      <c r="BC30" s="54">
        <v>5</v>
      </c>
      <c r="BD30" s="119">
        <f>BC30*3000</f>
        <v>15000</v>
      </c>
      <c r="BE30" s="54"/>
      <c r="BF30" s="54"/>
      <c r="BG30" s="54"/>
      <c r="BH30" s="119">
        <f>BG30*3000</f>
        <v>0</v>
      </c>
      <c r="BI30" s="54"/>
      <c r="BJ30" s="180"/>
    </row>
    <row r="31" spans="1:62" s="38" customFormat="1" ht="15" x14ac:dyDescent="0.25">
      <c r="A31" s="25"/>
      <c r="B31" s="48" t="s">
        <v>38</v>
      </c>
      <c r="C31" s="64">
        <f t="shared" si="14"/>
        <v>24</v>
      </c>
      <c r="D31" s="64">
        <f t="shared" si="15"/>
        <v>60000</v>
      </c>
      <c r="E31" s="64">
        <f t="shared" si="12"/>
        <v>0</v>
      </c>
      <c r="F31" s="64">
        <f t="shared" si="13"/>
        <v>0</v>
      </c>
      <c r="G31" s="47">
        <v>1</v>
      </c>
      <c r="H31" s="119">
        <f>G31*2500</f>
        <v>2500</v>
      </c>
      <c r="I31" s="54"/>
      <c r="J31" s="54"/>
      <c r="K31" s="54">
        <v>4</v>
      </c>
      <c r="L31" s="119">
        <f>K31*2500</f>
        <v>10000</v>
      </c>
      <c r="M31" s="54"/>
      <c r="N31" s="54"/>
      <c r="O31" s="54"/>
      <c r="P31" s="119"/>
      <c r="Q31" s="54"/>
      <c r="R31" s="54"/>
      <c r="S31" s="54"/>
      <c r="T31" s="119"/>
      <c r="U31" s="54"/>
      <c r="V31" s="54"/>
      <c r="W31" s="54">
        <v>4</v>
      </c>
      <c r="X31" s="119">
        <f>W31*2500</f>
        <v>10000</v>
      </c>
      <c r="Y31" s="54"/>
      <c r="Z31" s="54"/>
      <c r="AA31" s="54"/>
      <c r="AB31" s="119"/>
      <c r="AC31" s="54"/>
      <c r="AD31" s="54"/>
      <c r="AE31" s="54">
        <v>3</v>
      </c>
      <c r="AF31" s="119">
        <f>AE31*2500</f>
        <v>7500</v>
      </c>
      <c r="AG31" s="54"/>
      <c r="AH31" s="54"/>
      <c r="AI31" s="54"/>
      <c r="AJ31" s="119"/>
      <c r="AK31" s="54"/>
      <c r="AL31" s="54"/>
      <c r="AM31" s="54"/>
      <c r="AN31" s="119"/>
      <c r="AO31" s="54"/>
      <c r="AP31" s="54"/>
      <c r="AQ31" s="54"/>
      <c r="AR31" s="119"/>
      <c r="AS31" s="54"/>
      <c r="AT31" s="54"/>
      <c r="AU31" s="54"/>
      <c r="AV31" s="119"/>
      <c r="AW31" s="54"/>
      <c r="AX31" s="54"/>
      <c r="AY31" s="54"/>
      <c r="AZ31" s="119"/>
      <c r="BA31" s="54"/>
      <c r="BB31" s="54"/>
      <c r="BC31" s="54">
        <v>5</v>
      </c>
      <c r="BD31" s="119">
        <f>BC31*2500</f>
        <v>12500</v>
      </c>
      <c r="BE31" s="54"/>
      <c r="BF31" s="54"/>
      <c r="BG31" s="47">
        <v>7</v>
      </c>
      <c r="BH31" s="119">
        <f>BG31*2500</f>
        <v>17500</v>
      </c>
      <c r="BI31" s="54"/>
      <c r="BJ31" s="180"/>
    </row>
    <row r="32" spans="1:62" s="38" customFormat="1" ht="15" x14ac:dyDescent="0.25">
      <c r="A32" s="25"/>
      <c r="B32" s="209" t="s">
        <v>39</v>
      </c>
      <c r="C32" s="64">
        <f t="shared" si="14"/>
        <v>11</v>
      </c>
      <c r="D32" s="64">
        <f t="shared" si="15"/>
        <v>22000</v>
      </c>
      <c r="E32" s="64">
        <f t="shared" si="12"/>
        <v>0</v>
      </c>
      <c r="F32" s="64">
        <f t="shared" si="13"/>
        <v>0</v>
      </c>
      <c r="G32" s="47"/>
      <c r="H32" s="119">
        <f>G32*2000</f>
        <v>0</v>
      </c>
      <c r="I32" s="54"/>
      <c r="J32" s="54"/>
      <c r="K32" s="54">
        <v>1</v>
      </c>
      <c r="L32" s="119">
        <f>K32*2000</f>
        <v>2000</v>
      </c>
      <c r="M32" s="54"/>
      <c r="N32" s="54"/>
      <c r="O32" s="54"/>
      <c r="P32" s="119"/>
      <c r="Q32" s="54"/>
      <c r="R32" s="54"/>
      <c r="S32" s="54"/>
      <c r="T32" s="119"/>
      <c r="U32" s="54"/>
      <c r="V32" s="54"/>
      <c r="W32" s="54"/>
      <c r="X32" s="119">
        <f>W32*2000</f>
        <v>0</v>
      </c>
      <c r="Y32" s="54"/>
      <c r="Z32" s="54"/>
      <c r="AA32" s="54"/>
      <c r="AB32" s="119"/>
      <c r="AC32" s="54"/>
      <c r="AD32" s="54"/>
      <c r="AE32" s="54"/>
      <c r="AF32" s="119">
        <f>AE32*2000</f>
        <v>0</v>
      </c>
      <c r="AG32" s="54"/>
      <c r="AH32" s="54"/>
      <c r="AI32" s="54"/>
      <c r="AJ32" s="119"/>
      <c r="AK32" s="54"/>
      <c r="AL32" s="54"/>
      <c r="AM32" s="54"/>
      <c r="AN32" s="119"/>
      <c r="AO32" s="54"/>
      <c r="AP32" s="54"/>
      <c r="AQ32" s="54"/>
      <c r="AR32" s="119"/>
      <c r="AS32" s="54"/>
      <c r="AT32" s="54"/>
      <c r="AU32" s="54"/>
      <c r="AV32" s="119"/>
      <c r="AW32" s="54"/>
      <c r="AX32" s="54"/>
      <c r="AY32" s="54"/>
      <c r="AZ32" s="119"/>
      <c r="BA32" s="54"/>
      <c r="BB32" s="54"/>
      <c r="BC32" s="54">
        <v>5</v>
      </c>
      <c r="BD32" s="119">
        <f>BC32*2000</f>
        <v>10000</v>
      </c>
      <c r="BE32" s="54"/>
      <c r="BF32" s="54"/>
      <c r="BG32" s="47">
        <v>5</v>
      </c>
      <c r="BH32" s="119">
        <f>BG32*2000</f>
        <v>10000</v>
      </c>
      <c r="BI32" s="54"/>
      <c r="BJ32" s="180"/>
    </row>
    <row r="33" spans="1:62" s="38" customFormat="1" ht="15" x14ac:dyDescent="0.25">
      <c r="A33" s="25"/>
      <c r="B33" s="209" t="s">
        <v>40</v>
      </c>
      <c r="C33" s="64">
        <f t="shared" si="14"/>
        <v>14</v>
      </c>
      <c r="D33" s="64">
        <f t="shared" si="15"/>
        <v>42000</v>
      </c>
      <c r="E33" s="64">
        <f t="shared" si="12"/>
        <v>0</v>
      </c>
      <c r="F33" s="64">
        <f t="shared" si="13"/>
        <v>0</v>
      </c>
      <c r="G33" s="47"/>
      <c r="H33" s="119">
        <f>G33*3000</f>
        <v>0</v>
      </c>
      <c r="I33" s="54"/>
      <c r="J33" s="54"/>
      <c r="K33" s="54">
        <v>5</v>
      </c>
      <c r="L33" s="119">
        <f>K33*3000</f>
        <v>15000</v>
      </c>
      <c r="M33" s="54"/>
      <c r="N33" s="54"/>
      <c r="O33" s="54"/>
      <c r="P33" s="119"/>
      <c r="Q33" s="54"/>
      <c r="R33" s="54"/>
      <c r="S33" s="54"/>
      <c r="T33" s="119"/>
      <c r="U33" s="54"/>
      <c r="V33" s="54"/>
      <c r="W33" s="54">
        <v>1</v>
      </c>
      <c r="X33" s="119">
        <f>W33*3000</f>
        <v>3000</v>
      </c>
      <c r="Y33" s="54"/>
      <c r="Z33" s="54"/>
      <c r="AA33" s="54"/>
      <c r="AB33" s="119"/>
      <c r="AC33" s="54"/>
      <c r="AD33" s="54"/>
      <c r="AE33" s="54"/>
      <c r="AF33" s="119">
        <f>AE33*3000</f>
        <v>0</v>
      </c>
      <c r="AG33" s="54"/>
      <c r="AH33" s="54"/>
      <c r="AI33" s="54"/>
      <c r="AJ33" s="119"/>
      <c r="AK33" s="54"/>
      <c r="AL33" s="54"/>
      <c r="AM33" s="54"/>
      <c r="AN33" s="119"/>
      <c r="AO33" s="54"/>
      <c r="AP33" s="54"/>
      <c r="AQ33" s="54"/>
      <c r="AR33" s="119"/>
      <c r="AS33" s="54"/>
      <c r="AT33" s="54"/>
      <c r="AU33" s="54"/>
      <c r="AV33" s="119"/>
      <c r="AW33" s="54"/>
      <c r="AX33" s="54"/>
      <c r="AY33" s="54"/>
      <c r="AZ33" s="119"/>
      <c r="BA33" s="54"/>
      <c r="BB33" s="54"/>
      <c r="BC33" s="54"/>
      <c r="BD33" s="119">
        <f>BC33*3000</f>
        <v>0</v>
      </c>
      <c r="BE33" s="54"/>
      <c r="BF33" s="54"/>
      <c r="BG33" s="54">
        <v>8</v>
      </c>
      <c r="BH33" s="119">
        <f>BG33*3000</f>
        <v>24000</v>
      </c>
      <c r="BI33" s="54"/>
      <c r="BJ33" s="180"/>
    </row>
    <row r="34" spans="1:62" s="38" customFormat="1" x14ac:dyDescent="0.2">
      <c r="A34" s="25"/>
      <c r="B34" s="209" t="s">
        <v>41</v>
      </c>
      <c r="C34" s="64">
        <f t="shared" si="14"/>
        <v>22</v>
      </c>
      <c r="D34" s="64">
        <f t="shared" si="15"/>
        <v>58000</v>
      </c>
      <c r="E34" s="64">
        <f t="shared" si="12"/>
        <v>0</v>
      </c>
      <c r="F34" s="64">
        <f t="shared" si="13"/>
        <v>0</v>
      </c>
      <c r="G34" s="54"/>
      <c r="H34" s="119">
        <f>G34*2500</f>
        <v>0</v>
      </c>
      <c r="I34" s="54"/>
      <c r="J34" s="54"/>
      <c r="K34" s="54">
        <v>5</v>
      </c>
      <c r="L34" s="119">
        <f>K34*2500</f>
        <v>12500</v>
      </c>
      <c r="M34" s="54"/>
      <c r="N34" s="54"/>
      <c r="O34" s="54"/>
      <c r="P34" s="119"/>
      <c r="Q34" s="54"/>
      <c r="R34" s="54"/>
      <c r="S34" s="54"/>
      <c r="T34" s="119"/>
      <c r="U34" s="54"/>
      <c r="V34" s="54"/>
      <c r="W34" s="54"/>
      <c r="X34" s="119">
        <f>W34*2500</f>
        <v>0</v>
      </c>
      <c r="Y34" s="54"/>
      <c r="Z34" s="54"/>
      <c r="AA34" s="54"/>
      <c r="AB34" s="119"/>
      <c r="AC34" s="54"/>
      <c r="AD34" s="54"/>
      <c r="AE34" s="54"/>
      <c r="AF34" s="119">
        <f>AE34*2500</f>
        <v>0</v>
      </c>
      <c r="AG34" s="54"/>
      <c r="AH34" s="54"/>
      <c r="AI34" s="54">
        <v>2</v>
      </c>
      <c r="AJ34" s="119">
        <v>8000</v>
      </c>
      <c r="AK34" s="54"/>
      <c r="AL34" s="54"/>
      <c r="AM34" s="54"/>
      <c r="AN34" s="119"/>
      <c r="AO34" s="54"/>
      <c r="AP34" s="54"/>
      <c r="AQ34" s="54"/>
      <c r="AR34" s="119"/>
      <c r="AS34" s="54"/>
      <c r="AT34" s="54"/>
      <c r="AU34" s="54"/>
      <c r="AV34" s="119"/>
      <c r="AW34" s="54"/>
      <c r="AX34" s="54"/>
      <c r="AY34" s="54"/>
      <c r="AZ34" s="119"/>
      <c r="BA34" s="54"/>
      <c r="BB34" s="54"/>
      <c r="BC34" s="54">
        <v>5</v>
      </c>
      <c r="BD34" s="119">
        <f>BC34*2500</f>
        <v>12500</v>
      </c>
      <c r="BE34" s="54"/>
      <c r="BF34" s="54"/>
      <c r="BG34" s="54">
        <v>10</v>
      </c>
      <c r="BH34" s="119">
        <f>BG34*2500</f>
        <v>25000</v>
      </c>
      <c r="BI34" s="54"/>
      <c r="BJ34" s="180"/>
    </row>
    <row r="35" spans="1:62" s="38" customFormat="1" ht="15" x14ac:dyDescent="0.25">
      <c r="A35" s="25"/>
      <c r="B35" s="209" t="s">
        <v>42</v>
      </c>
      <c r="C35" s="64">
        <f t="shared" si="14"/>
        <v>0</v>
      </c>
      <c r="D35" s="64">
        <f t="shared" si="15"/>
        <v>0</v>
      </c>
      <c r="E35" s="64">
        <f t="shared" si="12"/>
        <v>0</v>
      </c>
      <c r="F35" s="64">
        <f t="shared" si="13"/>
        <v>0</v>
      </c>
      <c r="G35" s="47"/>
      <c r="H35" s="119">
        <f>G35*2000</f>
        <v>0</v>
      </c>
      <c r="I35" s="54"/>
      <c r="J35" s="54"/>
      <c r="K35" s="54"/>
      <c r="L35" s="119">
        <f>K35*2000</f>
        <v>0</v>
      </c>
      <c r="M35" s="54"/>
      <c r="N35" s="54"/>
      <c r="O35" s="54"/>
      <c r="P35" s="119"/>
      <c r="Q35" s="54"/>
      <c r="R35" s="54"/>
      <c r="S35" s="54"/>
      <c r="T35" s="119"/>
      <c r="U35" s="54"/>
      <c r="V35" s="54"/>
      <c r="W35" s="54"/>
      <c r="X35" s="119"/>
      <c r="Y35" s="54"/>
      <c r="Z35" s="54"/>
      <c r="AA35" s="54"/>
      <c r="AB35" s="119"/>
      <c r="AC35" s="54"/>
      <c r="AD35" s="54"/>
      <c r="AE35" s="54"/>
      <c r="AF35" s="119"/>
      <c r="AG35" s="54"/>
      <c r="AH35" s="54"/>
      <c r="AI35" s="54"/>
      <c r="AJ35" s="119"/>
      <c r="AK35" s="54"/>
      <c r="AL35" s="54"/>
      <c r="AM35" s="54"/>
      <c r="AN35" s="119"/>
      <c r="AO35" s="54"/>
      <c r="AP35" s="54"/>
      <c r="AQ35" s="54"/>
      <c r="AR35" s="119"/>
      <c r="AS35" s="54"/>
      <c r="AT35" s="54"/>
      <c r="AU35" s="54"/>
      <c r="AV35" s="119"/>
      <c r="AW35" s="54"/>
      <c r="AX35" s="54"/>
      <c r="AY35" s="54"/>
      <c r="AZ35" s="119"/>
      <c r="BA35" s="54"/>
      <c r="BB35" s="54"/>
      <c r="BC35" s="54"/>
      <c r="BD35" s="119"/>
      <c r="BE35" s="54"/>
      <c r="BF35" s="54"/>
      <c r="BG35" s="54"/>
      <c r="BH35" s="119"/>
      <c r="BI35" s="54"/>
      <c r="BJ35" s="180"/>
    </row>
    <row r="36" spans="1:62" s="38" customFormat="1" ht="15" x14ac:dyDescent="0.25">
      <c r="A36" s="25"/>
      <c r="B36" s="48" t="s">
        <v>43</v>
      </c>
      <c r="C36" s="64">
        <f t="shared" si="14"/>
        <v>16</v>
      </c>
      <c r="D36" s="64">
        <f t="shared" si="15"/>
        <v>19200</v>
      </c>
      <c r="E36" s="64">
        <f t="shared" si="12"/>
        <v>0</v>
      </c>
      <c r="F36" s="64">
        <f t="shared" si="13"/>
        <v>0</v>
      </c>
      <c r="G36" s="47"/>
      <c r="H36" s="119"/>
      <c r="I36" s="54"/>
      <c r="J36" s="54"/>
      <c r="K36" s="54">
        <v>4</v>
      </c>
      <c r="L36" s="119">
        <f>K36*1200</f>
        <v>4800</v>
      </c>
      <c r="M36" s="54"/>
      <c r="N36" s="54"/>
      <c r="O36" s="54"/>
      <c r="P36" s="119"/>
      <c r="Q36" s="54"/>
      <c r="R36" s="54"/>
      <c r="S36" s="47"/>
      <c r="T36" s="119"/>
      <c r="U36" s="54"/>
      <c r="V36" s="54"/>
      <c r="W36" s="54"/>
      <c r="X36" s="119"/>
      <c r="Y36" s="54"/>
      <c r="Z36" s="54"/>
      <c r="AA36" s="54"/>
      <c r="AB36" s="119"/>
      <c r="AC36" s="54"/>
      <c r="AD36" s="54"/>
      <c r="AE36" s="54"/>
      <c r="AF36" s="119">
        <f>AE36*1200</f>
        <v>0</v>
      </c>
      <c r="AG36" s="54"/>
      <c r="AH36" s="54"/>
      <c r="AI36" s="47"/>
      <c r="AJ36" s="119">
        <f>AI36*1200</f>
        <v>0</v>
      </c>
      <c r="AK36" s="54"/>
      <c r="AL36" s="54"/>
      <c r="AM36" s="54"/>
      <c r="AN36" s="119"/>
      <c r="AO36" s="54"/>
      <c r="AP36" s="54"/>
      <c r="AQ36" s="54"/>
      <c r="AR36" s="119"/>
      <c r="AS36" s="54"/>
      <c r="AT36" s="54"/>
      <c r="AU36" s="54"/>
      <c r="AV36" s="119"/>
      <c r="AW36" s="54"/>
      <c r="AX36" s="54"/>
      <c r="AY36" s="54"/>
      <c r="AZ36" s="119"/>
      <c r="BA36" s="54"/>
      <c r="BB36" s="54"/>
      <c r="BC36" s="54">
        <v>6</v>
      </c>
      <c r="BD36" s="119">
        <f>BC36*1200</f>
        <v>7200</v>
      </c>
      <c r="BE36" s="54"/>
      <c r="BF36" s="54"/>
      <c r="BG36" s="47">
        <v>6</v>
      </c>
      <c r="BH36" s="119">
        <f>BG36*1200</f>
        <v>7200</v>
      </c>
      <c r="BI36" s="54"/>
      <c r="BJ36" s="180"/>
    </row>
    <row r="37" spans="1:62" s="38" customFormat="1" ht="15" x14ac:dyDescent="0.25">
      <c r="A37" s="25"/>
      <c r="B37" s="48" t="s">
        <v>44</v>
      </c>
      <c r="C37" s="64">
        <f t="shared" si="14"/>
        <v>10</v>
      </c>
      <c r="D37" s="64">
        <f t="shared" si="15"/>
        <v>20000</v>
      </c>
      <c r="E37" s="64">
        <f t="shared" si="12"/>
        <v>0</v>
      </c>
      <c r="F37" s="64">
        <f t="shared" si="13"/>
        <v>0</v>
      </c>
      <c r="G37" s="47"/>
      <c r="H37" s="119"/>
      <c r="I37" s="54"/>
      <c r="J37" s="54"/>
      <c r="K37" s="54">
        <v>2</v>
      </c>
      <c r="L37" s="119">
        <f>K37*2000</f>
        <v>4000</v>
      </c>
      <c r="M37" s="54"/>
      <c r="N37" s="54"/>
      <c r="O37" s="54"/>
      <c r="P37" s="119"/>
      <c r="Q37" s="54"/>
      <c r="R37" s="54"/>
      <c r="S37" s="54"/>
      <c r="T37" s="119"/>
      <c r="U37" s="54"/>
      <c r="V37" s="54"/>
      <c r="W37" s="54"/>
      <c r="X37" s="119"/>
      <c r="Y37" s="54"/>
      <c r="Z37" s="54"/>
      <c r="AA37" s="54"/>
      <c r="AB37" s="119"/>
      <c r="AC37" s="54"/>
      <c r="AD37" s="54"/>
      <c r="AE37" s="54">
        <v>2</v>
      </c>
      <c r="AF37" s="119">
        <f>AE37*2000</f>
        <v>4000</v>
      </c>
      <c r="AG37" s="54"/>
      <c r="AH37" s="54"/>
      <c r="AI37" s="54"/>
      <c r="AJ37" s="119">
        <f>AI37*2000</f>
        <v>0</v>
      </c>
      <c r="AK37" s="54"/>
      <c r="AL37" s="54"/>
      <c r="AM37" s="54"/>
      <c r="AN37" s="119"/>
      <c r="AO37" s="54"/>
      <c r="AP37" s="54"/>
      <c r="AQ37" s="54"/>
      <c r="AR37" s="119"/>
      <c r="AS37" s="54"/>
      <c r="AT37" s="54"/>
      <c r="AU37" s="54"/>
      <c r="AV37" s="119"/>
      <c r="AW37" s="54"/>
      <c r="AX37" s="54"/>
      <c r="AY37" s="54"/>
      <c r="AZ37" s="119"/>
      <c r="BA37" s="54"/>
      <c r="BB37" s="54"/>
      <c r="BC37" s="54">
        <v>2</v>
      </c>
      <c r="BD37" s="119">
        <f>BC37*2000</f>
        <v>4000</v>
      </c>
      <c r="BE37" s="54"/>
      <c r="BF37" s="54"/>
      <c r="BG37" s="54">
        <v>4</v>
      </c>
      <c r="BH37" s="119">
        <f>BG37*2000</f>
        <v>8000</v>
      </c>
      <c r="BI37" s="54"/>
      <c r="BJ37" s="180"/>
    </row>
    <row r="38" spans="1:62" s="38" customFormat="1" x14ac:dyDescent="0.2">
      <c r="A38" s="25"/>
      <c r="B38" s="48" t="s">
        <v>45</v>
      </c>
      <c r="C38" s="64">
        <f t="shared" si="14"/>
        <v>7</v>
      </c>
      <c r="D38" s="64">
        <f t="shared" si="15"/>
        <v>52500</v>
      </c>
      <c r="E38" s="64">
        <f t="shared" si="12"/>
        <v>0</v>
      </c>
      <c r="F38" s="64">
        <f t="shared" si="13"/>
        <v>0</v>
      </c>
      <c r="G38" s="54"/>
      <c r="H38" s="119">
        <f>G38*7500</f>
        <v>0</v>
      </c>
      <c r="I38" s="54"/>
      <c r="J38" s="54"/>
      <c r="K38" s="54"/>
      <c r="L38" s="119">
        <f>K38*7500</f>
        <v>0</v>
      </c>
      <c r="M38" s="54"/>
      <c r="N38" s="54"/>
      <c r="O38" s="54"/>
      <c r="P38" s="119">
        <f>O38*7500</f>
        <v>0</v>
      </c>
      <c r="Q38" s="54"/>
      <c r="R38" s="54"/>
      <c r="S38" s="54"/>
      <c r="T38" s="119">
        <f>S38*7500</f>
        <v>0</v>
      </c>
      <c r="U38" s="54"/>
      <c r="V38" s="54"/>
      <c r="W38" s="54"/>
      <c r="X38" s="119">
        <f>W38*7500</f>
        <v>0</v>
      </c>
      <c r="Y38" s="54"/>
      <c r="Z38" s="54"/>
      <c r="AA38" s="54"/>
      <c r="AB38" s="119"/>
      <c r="AC38" s="54"/>
      <c r="AD38" s="54"/>
      <c r="AE38" s="54"/>
      <c r="AF38" s="119"/>
      <c r="AG38" s="54"/>
      <c r="AH38" s="54"/>
      <c r="AI38" s="54">
        <v>1</v>
      </c>
      <c r="AJ38" s="119">
        <f>AI38*7500</f>
        <v>7500</v>
      </c>
      <c r="AK38" s="54"/>
      <c r="AL38" s="54"/>
      <c r="AM38" s="54"/>
      <c r="AN38" s="119"/>
      <c r="AO38" s="54"/>
      <c r="AP38" s="54"/>
      <c r="AQ38" s="54"/>
      <c r="AR38" s="119"/>
      <c r="AS38" s="54"/>
      <c r="AT38" s="54"/>
      <c r="AU38" s="54"/>
      <c r="AV38" s="119"/>
      <c r="AW38" s="54"/>
      <c r="AX38" s="54"/>
      <c r="AY38" s="54"/>
      <c r="AZ38" s="119"/>
      <c r="BA38" s="54"/>
      <c r="BB38" s="54"/>
      <c r="BC38" s="54">
        <v>1</v>
      </c>
      <c r="BD38" s="119">
        <f>BC38*7500</f>
        <v>7500</v>
      </c>
      <c r="BE38" s="54"/>
      <c r="BF38" s="54"/>
      <c r="BG38" s="54">
        <v>5</v>
      </c>
      <c r="BH38" s="119">
        <f>BG38*7500</f>
        <v>37500</v>
      </c>
      <c r="BI38" s="54"/>
      <c r="BJ38" s="180"/>
    </row>
    <row r="39" spans="1:62" s="38" customFormat="1" x14ac:dyDescent="0.2">
      <c r="A39" s="25"/>
      <c r="B39" s="48" t="s">
        <v>46</v>
      </c>
      <c r="C39" s="64">
        <f t="shared" si="14"/>
        <v>4</v>
      </c>
      <c r="D39" s="64">
        <f t="shared" si="15"/>
        <v>36000</v>
      </c>
      <c r="E39" s="64">
        <f t="shared" si="12"/>
        <v>0</v>
      </c>
      <c r="F39" s="64">
        <f t="shared" si="13"/>
        <v>0</v>
      </c>
      <c r="G39" s="54"/>
      <c r="H39" s="119">
        <f>G39*9000</f>
        <v>0</v>
      </c>
      <c r="I39" s="54"/>
      <c r="J39" s="54"/>
      <c r="K39" s="54"/>
      <c r="L39" s="119">
        <f>K39*9000</f>
        <v>0</v>
      </c>
      <c r="M39" s="54"/>
      <c r="N39" s="54"/>
      <c r="O39" s="54"/>
      <c r="P39" s="119">
        <f>O39*9000</f>
        <v>0</v>
      </c>
      <c r="Q39" s="54"/>
      <c r="R39" s="54"/>
      <c r="S39" s="54"/>
      <c r="T39" s="119">
        <f>S39*9000</f>
        <v>0</v>
      </c>
      <c r="U39" s="54"/>
      <c r="V39" s="54"/>
      <c r="W39" s="54">
        <v>2</v>
      </c>
      <c r="X39" s="119">
        <f>W39*9000</f>
        <v>18000</v>
      </c>
      <c r="Y39" s="54"/>
      <c r="Z39" s="54"/>
      <c r="AA39" s="54"/>
      <c r="AB39" s="119"/>
      <c r="AC39" s="54"/>
      <c r="AD39" s="54"/>
      <c r="AE39" s="54"/>
      <c r="AF39" s="119"/>
      <c r="AG39" s="54"/>
      <c r="AH39" s="54"/>
      <c r="AI39" s="54"/>
      <c r="AJ39" s="119">
        <f>AI39*9000</f>
        <v>0</v>
      </c>
      <c r="AK39" s="54"/>
      <c r="AL39" s="54"/>
      <c r="AM39" s="54"/>
      <c r="AN39" s="119"/>
      <c r="AO39" s="54"/>
      <c r="AP39" s="54"/>
      <c r="AQ39" s="54"/>
      <c r="AR39" s="119"/>
      <c r="AS39" s="54"/>
      <c r="AT39" s="54"/>
      <c r="AU39" s="54"/>
      <c r="AV39" s="119"/>
      <c r="AW39" s="54"/>
      <c r="AX39" s="54"/>
      <c r="AY39" s="54"/>
      <c r="AZ39" s="119"/>
      <c r="BA39" s="54"/>
      <c r="BB39" s="54"/>
      <c r="BC39" s="54">
        <v>2</v>
      </c>
      <c r="BD39" s="119">
        <f>BC39*9000</f>
        <v>18000</v>
      </c>
      <c r="BE39" s="54"/>
      <c r="BF39" s="54"/>
      <c r="BG39" s="54"/>
      <c r="BH39" s="119">
        <f>BG39*9000</f>
        <v>0</v>
      </c>
      <c r="BI39" s="54"/>
      <c r="BJ39" s="180"/>
    </row>
    <row r="40" spans="1:62" s="38" customFormat="1" x14ac:dyDescent="0.2">
      <c r="A40" s="25"/>
      <c r="B40" s="209" t="s">
        <v>47</v>
      </c>
      <c r="C40" s="64">
        <f t="shared" si="14"/>
        <v>25</v>
      </c>
      <c r="D40" s="64">
        <f t="shared" si="15"/>
        <v>37500</v>
      </c>
      <c r="E40" s="64">
        <f t="shared" si="12"/>
        <v>0</v>
      </c>
      <c r="F40" s="64">
        <f t="shared" si="13"/>
        <v>0</v>
      </c>
      <c r="G40" s="54"/>
      <c r="H40" s="119"/>
      <c r="I40" s="54"/>
      <c r="J40" s="54"/>
      <c r="K40" s="54">
        <v>5</v>
      </c>
      <c r="L40" s="119">
        <f>1500*K40</f>
        <v>7500</v>
      </c>
      <c r="M40" s="54"/>
      <c r="N40" s="54"/>
      <c r="O40" s="54"/>
      <c r="P40" s="119"/>
      <c r="Q40" s="54"/>
      <c r="R40" s="54"/>
      <c r="S40" s="54"/>
      <c r="T40" s="119"/>
      <c r="U40" s="54"/>
      <c r="V40" s="54"/>
      <c r="W40" s="54">
        <v>2</v>
      </c>
      <c r="X40" s="119">
        <f>1500*W40</f>
        <v>3000</v>
      </c>
      <c r="Y40" s="54"/>
      <c r="Z40" s="54"/>
      <c r="AA40" s="54"/>
      <c r="AB40" s="119"/>
      <c r="AC40" s="54"/>
      <c r="AD40" s="54"/>
      <c r="AE40" s="54">
        <v>4</v>
      </c>
      <c r="AF40" s="119">
        <f>1500*AE40</f>
        <v>6000</v>
      </c>
      <c r="AG40" s="54"/>
      <c r="AH40" s="54"/>
      <c r="AI40" s="54"/>
      <c r="AJ40" s="119"/>
      <c r="AK40" s="54"/>
      <c r="AL40" s="54"/>
      <c r="AM40" s="54"/>
      <c r="AN40" s="119"/>
      <c r="AO40" s="54"/>
      <c r="AP40" s="54"/>
      <c r="AQ40" s="54"/>
      <c r="AR40" s="119"/>
      <c r="AS40" s="54"/>
      <c r="AT40" s="54"/>
      <c r="AU40" s="54"/>
      <c r="AV40" s="119"/>
      <c r="AW40" s="54"/>
      <c r="AX40" s="54"/>
      <c r="AY40" s="54"/>
      <c r="AZ40" s="119"/>
      <c r="BA40" s="54"/>
      <c r="BB40" s="54"/>
      <c r="BC40" s="54">
        <v>4</v>
      </c>
      <c r="BD40" s="119">
        <f>1500*BC40</f>
        <v>6000</v>
      </c>
      <c r="BE40" s="54"/>
      <c r="BF40" s="54"/>
      <c r="BG40" s="54">
        <v>10</v>
      </c>
      <c r="BH40" s="119">
        <f>1500*BG40</f>
        <v>15000</v>
      </c>
      <c r="BI40" s="54"/>
      <c r="BJ40" s="180"/>
    </row>
    <row r="41" spans="1:62" s="38" customFormat="1" x14ac:dyDescent="0.2">
      <c r="A41" s="25"/>
      <c r="B41" s="209" t="s">
        <v>48</v>
      </c>
      <c r="C41" s="64">
        <f t="shared" si="14"/>
        <v>84</v>
      </c>
      <c r="D41" s="64">
        <f t="shared" si="15"/>
        <v>67200</v>
      </c>
      <c r="E41" s="64">
        <f t="shared" si="12"/>
        <v>0</v>
      </c>
      <c r="F41" s="64">
        <f t="shared" si="13"/>
        <v>0</v>
      </c>
      <c r="G41" s="54"/>
      <c r="H41" s="119"/>
      <c r="I41" s="54"/>
      <c r="J41" s="54"/>
      <c r="K41" s="54">
        <v>20</v>
      </c>
      <c r="L41" s="119">
        <f>800*K41</f>
        <v>16000</v>
      </c>
      <c r="M41" s="54"/>
      <c r="N41" s="54"/>
      <c r="O41" s="54"/>
      <c r="P41" s="119"/>
      <c r="Q41" s="54"/>
      <c r="R41" s="54"/>
      <c r="S41" s="54"/>
      <c r="T41" s="119"/>
      <c r="U41" s="54"/>
      <c r="V41" s="54"/>
      <c r="W41" s="54">
        <v>8</v>
      </c>
      <c r="X41" s="119">
        <f>800*W41</f>
        <v>6400</v>
      </c>
      <c r="Y41" s="54"/>
      <c r="Z41" s="54"/>
      <c r="AA41" s="54"/>
      <c r="AB41" s="119"/>
      <c r="AC41" s="54"/>
      <c r="AD41" s="54"/>
      <c r="AE41" s="54">
        <v>16</v>
      </c>
      <c r="AF41" s="119">
        <f>800*AE41</f>
        <v>12800</v>
      </c>
      <c r="AG41" s="54"/>
      <c r="AH41" s="54"/>
      <c r="AI41" s="54"/>
      <c r="AJ41" s="119"/>
      <c r="AK41" s="54"/>
      <c r="AL41" s="54"/>
      <c r="AM41" s="54"/>
      <c r="AN41" s="119"/>
      <c r="AO41" s="54"/>
      <c r="AP41" s="54"/>
      <c r="AQ41" s="54"/>
      <c r="AR41" s="119"/>
      <c r="AS41" s="54"/>
      <c r="AT41" s="54"/>
      <c r="AU41" s="54"/>
      <c r="AV41" s="119"/>
      <c r="AW41" s="54"/>
      <c r="AX41" s="54"/>
      <c r="AY41" s="54"/>
      <c r="AZ41" s="119"/>
      <c r="BA41" s="54"/>
      <c r="BB41" s="54"/>
      <c r="BC41" s="54"/>
      <c r="BD41" s="119">
        <f>800*BC41</f>
        <v>0</v>
      </c>
      <c r="BE41" s="54"/>
      <c r="BF41" s="54"/>
      <c r="BG41" s="54">
        <v>40</v>
      </c>
      <c r="BH41" s="119">
        <f>800*BG41</f>
        <v>32000</v>
      </c>
      <c r="BI41" s="54"/>
      <c r="BJ41" s="180"/>
    </row>
    <row r="42" spans="1:62" s="38" customFormat="1" x14ac:dyDescent="0.2">
      <c r="A42" s="25"/>
      <c r="B42" s="48" t="s">
        <v>49</v>
      </c>
      <c r="C42" s="64">
        <f t="shared" si="14"/>
        <v>0</v>
      </c>
      <c r="D42" s="64">
        <f t="shared" si="15"/>
        <v>0</v>
      </c>
      <c r="E42" s="64">
        <f t="shared" si="12"/>
        <v>0</v>
      </c>
      <c r="F42" s="64">
        <f t="shared" si="13"/>
        <v>0</v>
      </c>
      <c r="G42" s="54"/>
      <c r="H42" s="119"/>
      <c r="I42" s="54"/>
      <c r="J42" s="54"/>
      <c r="K42" s="54"/>
      <c r="L42" s="119"/>
      <c r="M42" s="54"/>
      <c r="N42" s="54"/>
      <c r="O42" s="54"/>
      <c r="P42" s="119"/>
      <c r="Q42" s="54"/>
      <c r="R42" s="54"/>
      <c r="S42" s="54"/>
      <c r="T42" s="119"/>
      <c r="U42" s="54"/>
      <c r="V42" s="54"/>
      <c r="W42" s="54"/>
      <c r="X42" s="119"/>
      <c r="Y42" s="54"/>
      <c r="Z42" s="54"/>
      <c r="AA42" s="54"/>
      <c r="AB42" s="119"/>
      <c r="AC42" s="54"/>
      <c r="AD42" s="54"/>
      <c r="AE42" s="54"/>
      <c r="AF42" s="119"/>
      <c r="AG42" s="54"/>
      <c r="AH42" s="54"/>
      <c r="AI42" s="54"/>
      <c r="AJ42" s="119"/>
      <c r="AK42" s="54"/>
      <c r="AL42" s="54"/>
      <c r="AM42" s="54"/>
      <c r="AN42" s="119"/>
      <c r="AO42" s="54"/>
      <c r="AP42" s="54"/>
      <c r="AQ42" s="54"/>
      <c r="AR42" s="119"/>
      <c r="AS42" s="54"/>
      <c r="AT42" s="54"/>
      <c r="AU42" s="54"/>
      <c r="AV42" s="119"/>
      <c r="AW42" s="54"/>
      <c r="AX42" s="54"/>
      <c r="AY42" s="54"/>
      <c r="AZ42" s="119"/>
      <c r="BA42" s="54"/>
      <c r="BB42" s="54"/>
      <c r="BC42" s="54"/>
      <c r="BD42" s="119"/>
      <c r="BE42" s="54"/>
      <c r="BF42" s="54"/>
      <c r="BG42" s="54"/>
      <c r="BH42" s="119"/>
      <c r="BI42" s="54"/>
      <c r="BJ42" s="180"/>
    </row>
    <row r="43" spans="1:62" s="38" customFormat="1" x14ac:dyDescent="0.2">
      <c r="A43" s="25"/>
      <c r="B43" s="48" t="s">
        <v>50</v>
      </c>
      <c r="C43" s="64">
        <f t="shared" si="14"/>
        <v>6</v>
      </c>
      <c r="D43" s="64">
        <f t="shared" si="15"/>
        <v>18000</v>
      </c>
      <c r="E43" s="64">
        <f t="shared" si="12"/>
        <v>0</v>
      </c>
      <c r="F43" s="64">
        <f t="shared" si="13"/>
        <v>0</v>
      </c>
      <c r="G43" s="54"/>
      <c r="H43" s="119"/>
      <c r="I43" s="54"/>
      <c r="J43" s="54"/>
      <c r="K43" s="54">
        <v>2</v>
      </c>
      <c r="L43" s="119">
        <f>K43*3000</f>
        <v>6000</v>
      </c>
      <c r="M43" s="54"/>
      <c r="N43" s="54"/>
      <c r="O43" s="54"/>
      <c r="P43" s="119"/>
      <c r="Q43" s="54"/>
      <c r="R43" s="54"/>
      <c r="S43" s="54"/>
      <c r="T43" s="119"/>
      <c r="U43" s="54"/>
      <c r="V43" s="54"/>
      <c r="W43" s="54"/>
      <c r="X43" s="119"/>
      <c r="Y43" s="54"/>
      <c r="Z43" s="54"/>
      <c r="AA43" s="54"/>
      <c r="AB43" s="119"/>
      <c r="AC43" s="54"/>
      <c r="AD43" s="54"/>
      <c r="AE43" s="54">
        <v>2</v>
      </c>
      <c r="AF43" s="119">
        <f>AE43*3000</f>
        <v>6000</v>
      </c>
      <c r="AG43" s="54"/>
      <c r="AH43" s="54"/>
      <c r="AI43" s="54"/>
      <c r="AJ43" s="119"/>
      <c r="AK43" s="54"/>
      <c r="AL43" s="54"/>
      <c r="AM43" s="54">
        <v>2</v>
      </c>
      <c r="AN43" s="119">
        <f>AM43*3000</f>
        <v>6000</v>
      </c>
      <c r="AO43" s="54"/>
      <c r="AP43" s="54"/>
      <c r="AQ43" s="54"/>
      <c r="AR43" s="119"/>
      <c r="AS43" s="54"/>
      <c r="AT43" s="54"/>
      <c r="AU43" s="54"/>
      <c r="AV43" s="119"/>
      <c r="AW43" s="54"/>
      <c r="AX43" s="54"/>
      <c r="AY43" s="54"/>
      <c r="AZ43" s="119"/>
      <c r="BA43" s="54"/>
      <c r="BB43" s="54"/>
      <c r="BC43" s="54"/>
      <c r="BD43" s="119">
        <f>BC43*3000</f>
        <v>0</v>
      </c>
      <c r="BE43" s="54"/>
      <c r="BF43" s="54"/>
      <c r="BG43" s="54"/>
      <c r="BH43" s="119"/>
      <c r="BI43" s="54"/>
      <c r="BJ43" s="180"/>
    </row>
    <row r="44" spans="1:62" s="38" customFormat="1" x14ac:dyDescent="0.2">
      <c r="A44" s="25"/>
      <c r="B44" s="48" t="s">
        <v>51</v>
      </c>
      <c r="C44" s="64">
        <f t="shared" si="14"/>
        <v>3</v>
      </c>
      <c r="D44" s="64">
        <f t="shared" si="15"/>
        <v>12000</v>
      </c>
      <c r="E44" s="64">
        <f t="shared" si="12"/>
        <v>0</v>
      </c>
      <c r="F44" s="64">
        <f t="shared" si="13"/>
        <v>0</v>
      </c>
      <c r="G44" s="54"/>
      <c r="H44" s="119"/>
      <c r="I44" s="54"/>
      <c r="J44" s="54"/>
      <c r="K44" s="54">
        <v>1</v>
      </c>
      <c r="L44" s="119">
        <f>K44*4000</f>
        <v>4000</v>
      </c>
      <c r="M44" s="54"/>
      <c r="N44" s="54"/>
      <c r="O44" s="54"/>
      <c r="P44" s="119"/>
      <c r="Q44" s="54"/>
      <c r="R44" s="54"/>
      <c r="S44" s="54"/>
      <c r="T44" s="119"/>
      <c r="U44" s="54"/>
      <c r="V44" s="54"/>
      <c r="W44" s="54"/>
      <c r="X44" s="119"/>
      <c r="Y44" s="54"/>
      <c r="Z44" s="54"/>
      <c r="AA44" s="54"/>
      <c r="AB44" s="119"/>
      <c r="AC44" s="54"/>
      <c r="AD44" s="54"/>
      <c r="AE44" s="54"/>
      <c r="AF44" s="119">
        <f>AE44*4000</f>
        <v>0</v>
      </c>
      <c r="AG44" s="54"/>
      <c r="AH44" s="54"/>
      <c r="AI44" s="54"/>
      <c r="AJ44" s="119"/>
      <c r="AK44" s="54"/>
      <c r="AL44" s="54"/>
      <c r="AM44" s="54"/>
      <c r="AN44" s="119">
        <f>AM44*4000</f>
        <v>0</v>
      </c>
      <c r="AO44" s="54"/>
      <c r="AP44" s="54"/>
      <c r="AQ44" s="54"/>
      <c r="AR44" s="119"/>
      <c r="AS44" s="54"/>
      <c r="AT44" s="54"/>
      <c r="AU44" s="54"/>
      <c r="AV44" s="119"/>
      <c r="AW44" s="54"/>
      <c r="AX44" s="54"/>
      <c r="AY44" s="54"/>
      <c r="AZ44" s="119"/>
      <c r="BA44" s="54"/>
      <c r="BB44" s="54"/>
      <c r="BC44" s="54">
        <v>2</v>
      </c>
      <c r="BD44" s="119">
        <f>BC44*4000</f>
        <v>8000</v>
      </c>
      <c r="BE44" s="54"/>
      <c r="BF44" s="54"/>
      <c r="BG44" s="54"/>
      <c r="BH44" s="119"/>
      <c r="BI44" s="54"/>
      <c r="BJ44" s="180"/>
    </row>
    <row r="45" spans="1:62" s="38" customFormat="1" ht="15" x14ac:dyDescent="0.25">
      <c r="A45" s="25"/>
      <c r="B45" s="48" t="s">
        <v>52</v>
      </c>
      <c r="C45" s="64">
        <f t="shared" si="14"/>
        <v>29</v>
      </c>
      <c r="D45" s="64">
        <f t="shared" si="15"/>
        <v>87000</v>
      </c>
      <c r="E45" s="64">
        <f t="shared" si="12"/>
        <v>0</v>
      </c>
      <c r="F45" s="64">
        <f t="shared" si="13"/>
        <v>0</v>
      </c>
      <c r="G45" s="47">
        <v>2</v>
      </c>
      <c r="H45" s="119">
        <f>G45*3000</f>
        <v>6000</v>
      </c>
      <c r="I45" s="54"/>
      <c r="J45" s="54"/>
      <c r="K45" s="54"/>
      <c r="L45" s="119">
        <f>K45*3000</f>
        <v>0</v>
      </c>
      <c r="M45" s="54"/>
      <c r="N45" s="54"/>
      <c r="O45" s="47"/>
      <c r="P45" s="119"/>
      <c r="Q45" s="54"/>
      <c r="R45" s="54"/>
      <c r="S45" s="54"/>
      <c r="T45" s="119"/>
      <c r="U45" s="54"/>
      <c r="V45" s="54"/>
      <c r="W45" s="47">
        <v>4</v>
      </c>
      <c r="X45" s="119">
        <f>W45*3000</f>
        <v>12000</v>
      </c>
      <c r="Y45" s="54"/>
      <c r="Z45" s="54"/>
      <c r="AA45" s="47">
        <v>2</v>
      </c>
      <c r="AB45" s="119">
        <f>AA45*3000</f>
        <v>6000</v>
      </c>
      <c r="AC45" s="54"/>
      <c r="AD45" s="54"/>
      <c r="AE45" s="47">
        <v>2</v>
      </c>
      <c r="AF45" s="119">
        <f>AE45*3000</f>
        <v>6000</v>
      </c>
      <c r="AG45" s="54"/>
      <c r="AH45" s="54"/>
      <c r="AI45" s="47"/>
      <c r="AJ45" s="119">
        <f>AI45*3000</f>
        <v>0</v>
      </c>
      <c r="AK45" s="54"/>
      <c r="AL45" s="54"/>
      <c r="AM45" s="47">
        <v>4</v>
      </c>
      <c r="AN45" s="119">
        <f>AM45*3000</f>
        <v>12000</v>
      </c>
      <c r="AO45" s="54"/>
      <c r="AP45" s="54"/>
      <c r="AQ45" s="54"/>
      <c r="AR45" s="119"/>
      <c r="AS45" s="54"/>
      <c r="AT45" s="54"/>
      <c r="AU45" s="47"/>
      <c r="AV45" s="119"/>
      <c r="AW45" s="54"/>
      <c r="AX45" s="54"/>
      <c r="AY45" s="47"/>
      <c r="AZ45" s="119"/>
      <c r="BA45" s="54"/>
      <c r="BB45" s="54"/>
      <c r="BC45" s="47"/>
      <c r="BD45" s="119">
        <f>BC45*3000</f>
        <v>0</v>
      </c>
      <c r="BE45" s="54"/>
      <c r="BF45" s="54"/>
      <c r="BG45" s="47">
        <v>15</v>
      </c>
      <c r="BH45" s="119">
        <f>BG45*3000</f>
        <v>45000</v>
      </c>
      <c r="BI45" s="54"/>
      <c r="BJ45" s="180"/>
    </row>
    <row r="46" spans="1:62" s="38" customFormat="1" x14ac:dyDescent="0.2">
      <c r="A46" s="25"/>
      <c r="B46" s="209" t="s">
        <v>53</v>
      </c>
      <c r="C46" s="64">
        <f t="shared" si="14"/>
        <v>2</v>
      </c>
      <c r="D46" s="64">
        <f t="shared" si="15"/>
        <v>6000</v>
      </c>
      <c r="E46" s="64">
        <f t="shared" si="12"/>
        <v>0</v>
      </c>
      <c r="F46" s="64">
        <f t="shared" si="13"/>
        <v>0</v>
      </c>
      <c r="G46" s="54"/>
      <c r="H46" s="119">
        <f>G46*3000</f>
        <v>0</v>
      </c>
      <c r="I46" s="54"/>
      <c r="J46" s="54"/>
      <c r="K46" s="54"/>
      <c r="L46" s="119">
        <f>K46*3000</f>
        <v>0</v>
      </c>
      <c r="M46" s="54"/>
      <c r="N46" s="54"/>
      <c r="O46" s="54"/>
      <c r="P46" s="119"/>
      <c r="Q46" s="54"/>
      <c r="R46" s="54"/>
      <c r="S46" s="54"/>
      <c r="T46" s="119"/>
      <c r="U46" s="54"/>
      <c r="V46" s="54"/>
      <c r="W46" s="54"/>
      <c r="X46" s="119">
        <f>W46*3000</f>
        <v>0</v>
      </c>
      <c r="Y46" s="54"/>
      <c r="Z46" s="54"/>
      <c r="AA46" s="54"/>
      <c r="AB46" s="119">
        <f>AA46*3000</f>
        <v>0</v>
      </c>
      <c r="AC46" s="54"/>
      <c r="AD46" s="54"/>
      <c r="AE46" s="54"/>
      <c r="AF46" s="119">
        <f>AE46*3000</f>
        <v>0</v>
      </c>
      <c r="AG46" s="54"/>
      <c r="AH46" s="54"/>
      <c r="AI46" s="54"/>
      <c r="AJ46" s="119">
        <f>AI46*3000</f>
        <v>0</v>
      </c>
      <c r="AK46" s="54"/>
      <c r="AL46" s="54"/>
      <c r="AM46" s="54"/>
      <c r="AN46" s="119">
        <f>AM46*3000</f>
        <v>0</v>
      </c>
      <c r="AO46" s="54"/>
      <c r="AP46" s="54"/>
      <c r="AQ46" s="54"/>
      <c r="AR46" s="119"/>
      <c r="AS46" s="54"/>
      <c r="AT46" s="54"/>
      <c r="AU46" s="54"/>
      <c r="AV46" s="119"/>
      <c r="AW46" s="54"/>
      <c r="AX46" s="54"/>
      <c r="AY46" s="54"/>
      <c r="AZ46" s="119"/>
      <c r="BA46" s="54"/>
      <c r="BB46" s="54"/>
      <c r="BC46" s="54"/>
      <c r="BD46" s="119">
        <f>BC46*3000</f>
        <v>0</v>
      </c>
      <c r="BE46" s="54"/>
      <c r="BF46" s="54"/>
      <c r="BG46" s="54">
        <v>2</v>
      </c>
      <c r="BH46" s="119">
        <f>BG46*3000</f>
        <v>6000</v>
      </c>
      <c r="BI46" s="54"/>
      <c r="BJ46" s="180"/>
    </row>
    <row r="47" spans="1:62" s="38" customFormat="1" ht="15.75" thickBot="1" x14ac:dyDescent="0.3">
      <c r="A47" s="181"/>
      <c r="B47" s="182" t="s">
        <v>54</v>
      </c>
      <c r="C47" s="239">
        <f t="shared" si="14"/>
        <v>26</v>
      </c>
      <c r="D47" s="239">
        <f t="shared" si="15"/>
        <v>117000</v>
      </c>
      <c r="E47" s="239">
        <f t="shared" si="12"/>
        <v>0</v>
      </c>
      <c r="F47" s="239">
        <f t="shared" si="13"/>
        <v>0</v>
      </c>
      <c r="G47" s="200">
        <v>4</v>
      </c>
      <c r="H47" s="184">
        <f>G47*4500</f>
        <v>18000</v>
      </c>
      <c r="I47" s="200"/>
      <c r="J47" s="200"/>
      <c r="K47" s="183">
        <v>5</v>
      </c>
      <c r="L47" s="184">
        <f>K47*4500</f>
        <v>22500</v>
      </c>
      <c r="M47" s="200"/>
      <c r="N47" s="200"/>
      <c r="O47" s="183"/>
      <c r="P47" s="184"/>
      <c r="Q47" s="200"/>
      <c r="R47" s="200"/>
      <c r="S47" s="183"/>
      <c r="T47" s="184"/>
      <c r="U47" s="200"/>
      <c r="V47" s="200"/>
      <c r="W47" s="183">
        <v>4</v>
      </c>
      <c r="X47" s="184">
        <f>W47*4500</f>
        <v>18000</v>
      </c>
      <c r="Y47" s="200"/>
      <c r="Z47" s="200"/>
      <c r="AA47" s="183">
        <v>8</v>
      </c>
      <c r="AB47" s="184">
        <f>AA47*4500</f>
        <v>36000</v>
      </c>
      <c r="AC47" s="200"/>
      <c r="AD47" s="200"/>
      <c r="AE47" s="183"/>
      <c r="AF47" s="184">
        <f>AE47*4500</f>
        <v>0</v>
      </c>
      <c r="AG47" s="200"/>
      <c r="AH47" s="200"/>
      <c r="AI47" s="183">
        <v>2</v>
      </c>
      <c r="AJ47" s="184">
        <f>AI47*4500</f>
        <v>9000</v>
      </c>
      <c r="AK47" s="200"/>
      <c r="AL47" s="200"/>
      <c r="AM47" s="200"/>
      <c r="AN47" s="184">
        <f>AM47*4500</f>
        <v>0</v>
      </c>
      <c r="AO47" s="200"/>
      <c r="AP47" s="200"/>
      <c r="AQ47" s="183"/>
      <c r="AR47" s="184"/>
      <c r="AS47" s="200"/>
      <c r="AT47" s="200"/>
      <c r="AU47" s="200"/>
      <c r="AV47" s="184"/>
      <c r="AW47" s="200"/>
      <c r="AX47" s="200"/>
      <c r="AY47" s="183"/>
      <c r="AZ47" s="184"/>
      <c r="BA47" s="200"/>
      <c r="BB47" s="200"/>
      <c r="BC47" s="200">
        <v>3</v>
      </c>
      <c r="BD47" s="184">
        <f>BC47*4500</f>
        <v>13500</v>
      </c>
      <c r="BE47" s="200"/>
      <c r="BF47" s="200"/>
      <c r="BG47" s="183"/>
      <c r="BH47" s="184">
        <f>BG47*4500</f>
        <v>0</v>
      </c>
      <c r="BI47" s="200"/>
      <c r="BJ47" s="186"/>
    </row>
    <row r="48" spans="1:62" ht="13.5" thickBot="1" x14ac:dyDescent="0.25">
      <c r="A48" s="278"/>
      <c r="B48" s="233" t="s">
        <v>154</v>
      </c>
      <c r="C48" s="107">
        <f t="shared" ref="C48:BJ48" si="17">SUM(C14:C47)</f>
        <v>803</v>
      </c>
      <c r="D48" s="107">
        <f t="shared" si="17"/>
        <v>2018400</v>
      </c>
      <c r="E48" s="107">
        <f t="shared" si="17"/>
        <v>0</v>
      </c>
      <c r="F48" s="107">
        <f t="shared" si="17"/>
        <v>0</v>
      </c>
      <c r="G48" s="107">
        <f t="shared" si="17"/>
        <v>76</v>
      </c>
      <c r="H48" s="107">
        <f t="shared" si="17"/>
        <v>234500</v>
      </c>
      <c r="I48" s="107">
        <f t="shared" si="17"/>
        <v>0</v>
      </c>
      <c r="J48" s="107">
        <f t="shared" si="17"/>
        <v>0</v>
      </c>
      <c r="K48" s="107">
        <f t="shared" si="17"/>
        <v>94</v>
      </c>
      <c r="L48" s="107">
        <f t="shared" si="17"/>
        <v>219800</v>
      </c>
      <c r="M48" s="107">
        <f t="shared" si="17"/>
        <v>0</v>
      </c>
      <c r="N48" s="107">
        <f t="shared" si="17"/>
        <v>0</v>
      </c>
      <c r="O48" s="107">
        <f t="shared" si="17"/>
        <v>42</v>
      </c>
      <c r="P48" s="107">
        <f t="shared" si="17"/>
        <v>109000</v>
      </c>
      <c r="Q48" s="107">
        <f t="shared" si="17"/>
        <v>0</v>
      </c>
      <c r="R48" s="107">
        <f t="shared" si="17"/>
        <v>0</v>
      </c>
      <c r="S48" s="107">
        <f t="shared" si="17"/>
        <v>0</v>
      </c>
      <c r="T48" s="107">
        <f t="shared" si="17"/>
        <v>0</v>
      </c>
      <c r="U48" s="107">
        <f t="shared" si="17"/>
        <v>0</v>
      </c>
      <c r="V48" s="107">
        <f t="shared" si="17"/>
        <v>0</v>
      </c>
      <c r="W48" s="107">
        <f t="shared" si="17"/>
        <v>81</v>
      </c>
      <c r="X48" s="107">
        <f t="shared" si="17"/>
        <v>225400</v>
      </c>
      <c r="Y48" s="107">
        <f t="shared" si="17"/>
        <v>0</v>
      </c>
      <c r="Z48" s="107">
        <f t="shared" si="17"/>
        <v>0</v>
      </c>
      <c r="AA48" s="107">
        <f t="shared" si="17"/>
        <v>40</v>
      </c>
      <c r="AB48" s="107">
        <f t="shared" si="17"/>
        <v>109500</v>
      </c>
      <c r="AC48" s="107">
        <f t="shared" si="17"/>
        <v>0</v>
      </c>
      <c r="AD48" s="107">
        <f t="shared" si="17"/>
        <v>0</v>
      </c>
      <c r="AE48" s="107">
        <f t="shared" si="17"/>
        <v>78</v>
      </c>
      <c r="AF48" s="107">
        <f t="shared" si="17"/>
        <v>163300</v>
      </c>
      <c r="AG48" s="107">
        <f t="shared" si="17"/>
        <v>0</v>
      </c>
      <c r="AH48" s="107">
        <f t="shared" si="17"/>
        <v>0</v>
      </c>
      <c r="AI48" s="107">
        <f t="shared" si="17"/>
        <v>10</v>
      </c>
      <c r="AJ48" s="107">
        <f t="shared" si="17"/>
        <v>47000</v>
      </c>
      <c r="AK48" s="107">
        <f t="shared" si="17"/>
        <v>0</v>
      </c>
      <c r="AL48" s="107">
        <f t="shared" si="17"/>
        <v>0</v>
      </c>
      <c r="AM48" s="107">
        <f t="shared" si="17"/>
        <v>33</v>
      </c>
      <c r="AN48" s="107">
        <f t="shared" si="17"/>
        <v>93500</v>
      </c>
      <c r="AO48" s="107">
        <f t="shared" si="17"/>
        <v>0</v>
      </c>
      <c r="AP48" s="107">
        <f t="shared" si="17"/>
        <v>0</v>
      </c>
      <c r="AQ48" s="107">
        <f t="shared" si="17"/>
        <v>2</v>
      </c>
      <c r="AR48" s="107">
        <f t="shared" si="17"/>
        <v>10000</v>
      </c>
      <c r="AS48" s="107">
        <f t="shared" si="17"/>
        <v>0</v>
      </c>
      <c r="AT48" s="107">
        <f t="shared" si="17"/>
        <v>0</v>
      </c>
      <c r="AU48" s="107">
        <f t="shared" si="17"/>
        <v>0</v>
      </c>
      <c r="AV48" s="107">
        <f t="shared" si="17"/>
        <v>0</v>
      </c>
      <c r="AW48" s="107">
        <f t="shared" si="17"/>
        <v>0</v>
      </c>
      <c r="AX48" s="107">
        <f t="shared" si="17"/>
        <v>0</v>
      </c>
      <c r="AY48" s="107">
        <f t="shared" si="17"/>
        <v>40</v>
      </c>
      <c r="AZ48" s="107">
        <f t="shared" si="17"/>
        <v>90000</v>
      </c>
      <c r="BA48" s="107">
        <f t="shared" si="17"/>
        <v>0</v>
      </c>
      <c r="BB48" s="107">
        <f t="shared" si="17"/>
        <v>0</v>
      </c>
      <c r="BC48" s="107">
        <f t="shared" si="17"/>
        <v>72</v>
      </c>
      <c r="BD48" s="107">
        <f t="shared" si="17"/>
        <v>194700</v>
      </c>
      <c r="BE48" s="107">
        <f t="shared" si="17"/>
        <v>0</v>
      </c>
      <c r="BF48" s="107">
        <f t="shared" si="17"/>
        <v>0</v>
      </c>
      <c r="BG48" s="107">
        <f t="shared" si="17"/>
        <v>235</v>
      </c>
      <c r="BH48" s="107">
        <f t="shared" si="17"/>
        <v>521700</v>
      </c>
      <c r="BI48" s="107">
        <f t="shared" si="17"/>
        <v>0</v>
      </c>
      <c r="BJ48" s="107">
        <f t="shared" si="17"/>
        <v>0</v>
      </c>
    </row>
    <row r="49" spans="1:62" s="38" customFormat="1" x14ac:dyDescent="0.2">
      <c r="A49" s="175" t="s">
        <v>6</v>
      </c>
      <c r="B49" s="194" t="s">
        <v>61</v>
      </c>
      <c r="C49" s="177"/>
      <c r="D49" s="178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9"/>
    </row>
    <row r="50" spans="1:62" s="38" customFormat="1" ht="15" x14ac:dyDescent="0.25">
      <c r="A50" s="25"/>
      <c r="B50" s="48" t="s">
        <v>64</v>
      </c>
      <c r="C50" s="64">
        <f t="shared" ref="C50:C56" si="18">G50+K50+O50+S50+W50+AA50+AE50+AI50+AM50+AQ50+AU50+AY50+BC50+BG50</f>
        <v>47</v>
      </c>
      <c r="D50" s="64">
        <f t="shared" ref="D50:D56" si="19">H50+L50+P50+T50+X50+AB50+AF50+AJ50+AN50+AR50+AV50+AZ50+BD50+BH50</f>
        <v>376000</v>
      </c>
      <c r="E50" s="64">
        <f t="shared" ref="E50:E56" si="20">I50+M50+Q50+U50+Y50+AC50+AG50+AK50+AO50+AS50+AW50+BA50+BE50+BI50</f>
        <v>0</v>
      </c>
      <c r="F50" s="64">
        <f t="shared" ref="F50:F56" si="21">J50+N50+R50+V50+Z50+AD50+AH50+AL50+AP50+AT50+AX50+BB50+BF50+BJ50</f>
        <v>0</v>
      </c>
      <c r="G50" s="47">
        <v>10</v>
      </c>
      <c r="H50" s="119">
        <f>G50*8000</f>
        <v>80000</v>
      </c>
      <c r="I50" s="54"/>
      <c r="J50" s="54"/>
      <c r="K50" s="47">
        <v>4</v>
      </c>
      <c r="L50" s="119">
        <f>K50*8000</f>
        <v>32000</v>
      </c>
      <c r="M50" s="54"/>
      <c r="N50" s="54"/>
      <c r="O50" s="47"/>
      <c r="P50" s="119">
        <f>O50*8000</f>
        <v>0</v>
      </c>
      <c r="Q50" s="54"/>
      <c r="R50" s="54"/>
      <c r="S50" s="54"/>
      <c r="T50" s="119"/>
      <c r="U50" s="54"/>
      <c r="V50" s="54"/>
      <c r="W50" s="47">
        <v>2</v>
      </c>
      <c r="X50" s="119">
        <f>W50*8000</f>
        <v>16000</v>
      </c>
      <c r="Y50" s="54"/>
      <c r="Z50" s="54"/>
      <c r="AA50" s="54">
        <v>6</v>
      </c>
      <c r="AB50" s="119">
        <f>AA50*8000</f>
        <v>48000</v>
      </c>
      <c r="AC50" s="54"/>
      <c r="AD50" s="54"/>
      <c r="AE50" s="47">
        <v>3</v>
      </c>
      <c r="AF50" s="119">
        <f>AE50*8000</f>
        <v>24000</v>
      </c>
      <c r="AG50" s="54"/>
      <c r="AH50" s="54"/>
      <c r="AI50" s="54"/>
      <c r="AJ50" s="119"/>
      <c r="AK50" s="54"/>
      <c r="AL50" s="54"/>
      <c r="AM50" s="54">
        <v>4</v>
      </c>
      <c r="AN50" s="119">
        <f>AM50*8000</f>
        <v>32000</v>
      </c>
      <c r="AO50" s="54"/>
      <c r="AP50" s="54"/>
      <c r="AQ50" s="54">
        <v>2</v>
      </c>
      <c r="AR50" s="119">
        <f>AQ50*8000</f>
        <v>16000</v>
      </c>
      <c r="AS50" s="54"/>
      <c r="AT50" s="54"/>
      <c r="AU50" s="47"/>
      <c r="AV50" s="119">
        <f>AU50*8000</f>
        <v>0</v>
      </c>
      <c r="AW50" s="54"/>
      <c r="AX50" s="54"/>
      <c r="AY50" s="47">
        <v>2</v>
      </c>
      <c r="AZ50" s="119">
        <f>AY50*8000</f>
        <v>16000</v>
      </c>
      <c r="BA50" s="54"/>
      <c r="BB50" s="54"/>
      <c r="BC50" s="47">
        <v>4</v>
      </c>
      <c r="BD50" s="119">
        <f>BC50*8000</f>
        <v>32000</v>
      </c>
      <c r="BE50" s="54"/>
      <c r="BF50" s="54"/>
      <c r="BG50" s="47">
        <v>10</v>
      </c>
      <c r="BH50" s="119">
        <f>BG50*8000</f>
        <v>80000</v>
      </c>
      <c r="BI50" s="54"/>
      <c r="BJ50" s="180"/>
    </row>
    <row r="51" spans="1:62" s="38" customFormat="1" ht="15" x14ac:dyDescent="0.25">
      <c r="A51" s="25"/>
      <c r="B51" s="48" t="s">
        <v>65</v>
      </c>
      <c r="C51" s="64">
        <f t="shared" si="18"/>
        <v>10</v>
      </c>
      <c r="D51" s="64">
        <f t="shared" si="19"/>
        <v>180000</v>
      </c>
      <c r="E51" s="64">
        <f t="shared" si="20"/>
        <v>0</v>
      </c>
      <c r="F51" s="64">
        <f t="shared" si="21"/>
        <v>0</v>
      </c>
      <c r="G51" s="54">
        <v>2</v>
      </c>
      <c r="H51" s="119">
        <f>G51*18000</f>
        <v>36000</v>
      </c>
      <c r="I51" s="54"/>
      <c r="J51" s="54"/>
      <c r="K51" s="54"/>
      <c r="L51" s="119">
        <f>K51*18000</f>
        <v>0</v>
      </c>
      <c r="M51" s="54"/>
      <c r="N51" s="54"/>
      <c r="O51" s="54">
        <v>2</v>
      </c>
      <c r="P51" s="119">
        <f>O51*18000</f>
        <v>36000</v>
      </c>
      <c r="Q51" s="54"/>
      <c r="R51" s="54"/>
      <c r="S51" s="54"/>
      <c r="T51" s="119"/>
      <c r="U51" s="54"/>
      <c r="V51" s="54"/>
      <c r="W51" s="54">
        <v>2</v>
      </c>
      <c r="X51" s="119">
        <f>W51*18000</f>
        <v>36000</v>
      </c>
      <c r="Y51" s="54"/>
      <c r="Z51" s="54"/>
      <c r="AA51" s="54"/>
      <c r="AB51" s="119">
        <f>AA51*18000</f>
        <v>0</v>
      </c>
      <c r="AC51" s="54"/>
      <c r="AD51" s="54"/>
      <c r="AE51" s="54"/>
      <c r="AF51" s="119">
        <f>AE51*18000</f>
        <v>0</v>
      </c>
      <c r="AG51" s="54"/>
      <c r="AH51" s="54"/>
      <c r="AI51" s="54"/>
      <c r="AJ51" s="119"/>
      <c r="AK51" s="54"/>
      <c r="AL51" s="54"/>
      <c r="AM51" s="54"/>
      <c r="AN51" s="119">
        <f>AM51*18000</f>
        <v>0</v>
      </c>
      <c r="AO51" s="54"/>
      <c r="AP51" s="54"/>
      <c r="AQ51" s="54"/>
      <c r="AR51" s="119">
        <f>AQ51*18000</f>
        <v>0</v>
      </c>
      <c r="AS51" s="54"/>
      <c r="AT51" s="54"/>
      <c r="AU51" s="47"/>
      <c r="AV51" s="119">
        <f>AU51*18000</f>
        <v>0</v>
      </c>
      <c r="AW51" s="54"/>
      <c r="AX51" s="54"/>
      <c r="AY51" s="54"/>
      <c r="AZ51" s="119">
        <f>AY51*18000</f>
        <v>0</v>
      </c>
      <c r="BA51" s="54"/>
      <c r="BB51" s="54"/>
      <c r="BC51" s="54">
        <v>1</v>
      </c>
      <c r="BD51" s="119">
        <f>BC51*18000</f>
        <v>18000</v>
      </c>
      <c r="BE51" s="54"/>
      <c r="BF51" s="54"/>
      <c r="BG51" s="47">
        <v>3</v>
      </c>
      <c r="BH51" s="119">
        <f>BG51*18000</f>
        <v>54000</v>
      </c>
      <c r="BI51" s="54"/>
      <c r="BJ51" s="180"/>
    </row>
    <row r="52" spans="1:62" s="38" customFormat="1" ht="15" x14ac:dyDescent="0.25">
      <c r="A52" s="25"/>
      <c r="B52" s="193" t="s">
        <v>66</v>
      </c>
      <c r="C52" s="64">
        <f t="shared" si="18"/>
        <v>8</v>
      </c>
      <c r="D52" s="64">
        <f t="shared" si="19"/>
        <v>24000</v>
      </c>
      <c r="E52" s="64">
        <f t="shared" si="20"/>
        <v>0</v>
      </c>
      <c r="F52" s="64">
        <f t="shared" si="21"/>
        <v>0</v>
      </c>
      <c r="G52" s="47">
        <v>2</v>
      </c>
      <c r="H52" s="119">
        <f>G52*3000</f>
        <v>6000</v>
      </c>
      <c r="I52" s="54"/>
      <c r="J52" s="54"/>
      <c r="K52" s="54">
        <v>1</v>
      </c>
      <c r="L52" s="119">
        <f>K52*3000</f>
        <v>3000</v>
      </c>
      <c r="M52" s="54"/>
      <c r="N52" s="54"/>
      <c r="O52" s="54"/>
      <c r="P52" s="119">
        <f>O52*3000</f>
        <v>0</v>
      </c>
      <c r="Q52" s="54"/>
      <c r="R52" s="54"/>
      <c r="S52" s="54"/>
      <c r="T52" s="119"/>
      <c r="U52" s="54"/>
      <c r="V52" s="54"/>
      <c r="W52" s="54"/>
      <c r="X52" s="119"/>
      <c r="Y52" s="54"/>
      <c r="Z52" s="54"/>
      <c r="AA52" s="54"/>
      <c r="AB52" s="119">
        <f>AA52*3000</f>
        <v>0</v>
      </c>
      <c r="AC52" s="54"/>
      <c r="AD52" s="54"/>
      <c r="AE52" s="54"/>
      <c r="AF52" s="119">
        <f>AE52*3000</f>
        <v>0</v>
      </c>
      <c r="AG52" s="54"/>
      <c r="AH52" s="54"/>
      <c r="AI52" s="54"/>
      <c r="AJ52" s="119">
        <f>AI52*3000</f>
        <v>0</v>
      </c>
      <c r="AK52" s="54"/>
      <c r="AL52" s="54"/>
      <c r="AM52" s="54"/>
      <c r="AN52" s="119">
        <f>AM52*3000</f>
        <v>0</v>
      </c>
      <c r="AO52" s="54"/>
      <c r="AP52" s="54"/>
      <c r="AQ52" s="54"/>
      <c r="AR52" s="119"/>
      <c r="AS52" s="54"/>
      <c r="AT52" s="54"/>
      <c r="AU52" s="54">
        <v>1</v>
      </c>
      <c r="AV52" s="119">
        <f>AU52*3000</f>
        <v>3000</v>
      </c>
      <c r="AW52" s="54"/>
      <c r="AX52" s="54"/>
      <c r="AY52" s="54"/>
      <c r="AZ52" s="119"/>
      <c r="BA52" s="54"/>
      <c r="BB52" s="54"/>
      <c r="BC52" s="54">
        <v>1</v>
      </c>
      <c r="BD52" s="119">
        <f>BC52*3000</f>
        <v>3000</v>
      </c>
      <c r="BE52" s="54"/>
      <c r="BF52" s="54"/>
      <c r="BG52" s="54">
        <v>3</v>
      </c>
      <c r="BH52" s="119">
        <f>BG52*3000</f>
        <v>9000</v>
      </c>
      <c r="BI52" s="54"/>
      <c r="BJ52" s="180"/>
    </row>
    <row r="53" spans="1:62" s="38" customFormat="1" ht="15" x14ac:dyDescent="0.25">
      <c r="A53" s="25"/>
      <c r="B53" s="48" t="s">
        <v>67</v>
      </c>
      <c r="C53" s="64">
        <f t="shared" si="18"/>
        <v>28</v>
      </c>
      <c r="D53" s="64">
        <f t="shared" si="19"/>
        <v>168000</v>
      </c>
      <c r="E53" s="64">
        <f t="shared" si="20"/>
        <v>0</v>
      </c>
      <c r="F53" s="64">
        <f t="shared" si="21"/>
        <v>0</v>
      </c>
      <c r="G53" s="54">
        <v>6</v>
      </c>
      <c r="H53" s="119">
        <f>G53*6000</f>
        <v>36000</v>
      </c>
      <c r="I53" s="54"/>
      <c r="J53" s="54"/>
      <c r="K53" s="54">
        <v>2</v>
      </c>
      <c r="L53" s="119">
        <f>K53*6000</f>
        <v>12000</v>
      </c>
      <c r="M53" s="54"/>
      <c r="N53" s="54"/>
      <c r="O53" s="47">
        <v>1</v>
      </c>
      <c r="P53" s="119">
        <f>O53*6000</f>
        <v>6000</v>
      </c>
      <c r="Q53" s="54"/>
      <c r="R53" s="54"/>
      <c r="S53" s="54"/>
      <c r="T53" s="119"/>
      <c r="U53" s="54"/>
      <c r="V53" s="54"/>
      <c r="W53" s="47"/>
      <c r="X53" s="119"/>
      <c r="Y53" s="54"/>
      <c r="Z53" s="54"/>
      <c r="AA53" s="54">
        <v>2</v>
      </c>
      <c r="AB53" s="119">
        <f>AA53*6000</f>
        <v>12000</v>
      </c>
      <c r="AC53" s="54"/>
      <c r="AD53" s="54"/>
      <c r="AE53" s="54">
        <v>2</v>
      </c>
      <c r="AF53" s="119">
        <f>AE53*6000</f>
        <v>12000</v>
      </c>
      <c r="AG53" s="54"/>
      <c r="AH53" s="54"/>
      <c r="AI53" s="47">
        <v>1</v>
      </c>
      <c r="AJ53" s="119">
        <f>AI53*6000</f>
        <v>6000</v>
      </c>
      <c r="AK53" s="54"/>
      <c r="AL53" s="54"/>
      <c r="AM53" s="54">
        <v>2</v>
      </c>
      <c r="AN53" s="119">
        <f>AM53*6000</f>
        <v>12000</v>
      </c>
      <c r="AO53" s="54"/>
      <c r="AP53" s="54"/>
      <c r="AQ53" s="54"/>
      <c r="AR53" s="119"/>
      <c r="AS53" s="54"/>
      <c r="AT53" s="54"/>
      <c r="AU53" s="47">
        <v>2</v>
      </c>
      <c r="AV53" s="119">
        <f>AU53*6000</f>
        <v>12000</v>
      </c>
      <c r="AW53" s="54"/>
      <c r="AX53" s="54"/>
      <c r="AY53" s="54"/>
      <c r="AZ53" s="119"/>
      <c r="BA53" s="54"/>
      <c r="BB53" s="54"/>
      <c r="BC53" s="47">
        <v>2</v>
      </c>
      <c r="BD53" s="119">
        <f>BC53*6000</f>
        <v>12000</v>
      </c>
      <c r="BE53" s="54"/>
      <c r="BF53" s="54"/>
      <c r="BG53" s="47">
        <v>8</v>
      </c>
      <c r="BH53" s="119">
        <f>BG53*6000</f>
        <v>48000</v>
      </c>
      <c r="BI53" s="54"/>
      <c r="BJ53" s="180"/>
    </row>
    <row r="54" spans="1:62" s="38" customFormat="1" ht="15" x14ac:dyDescent="0.25">
      <c r="A54" s="25"/>
      <c r="B54" s="48" t="s">
        <v>68</v>
      </c>
      <c r="C54" s="64">
        <f t="shared" si="18"/>
        <v>5</v>
      </c>
      <c r="D54" s="64">
        <f t="shared" si="19"/>
        <v>40000</v>
      </c>
      <c r="E54" s="64">
        <f t="shared" si="20"/>
        <v>0</v>
      </c>
      <c r="F54" s="64">
        <f t="shared" si="21"/>
        <v>0</v>
      </c>
      <c r="G54" s="47"/>
      <c r="H54" s="119"/>
      <c r="I54" s="54"/>
      <c r="J54" s="54"/>
      <c r="K54" s="54">
        <v>1</v>
      </c>
      <c r="L54" s="119">
        <f>K54*8000</f>
        <v>8000</v>
      </c>
      <c r="M54" s="54"/>
      <c r="N54" s="54"/>
      <c r="O54" s="47"/>
      <c r="P54" s="119"/>
      <c r="Q54" s="54"/>
      <c r="R54" s="54"/>
      <c r="S54" s="54"/>
      <c r="T54" s="119"/>
      <c r="U54" s="54"/>
      <c r="V54" s="54"/>
      <c r="W54" s="54"/>
      <c r="X54" s="119"/>
      <c r="Y54" s="54"/>
      <c r="Z54" s="54"/>
      <c r="AA54" s="54"/>
      <c r="AB54" s="119"/>
      <c r="AC54" s="54"/>
      <c r="AD54" s="54"/>
      <c r="AE54" s="47">
        <v>1</v>
      </c>
      <c r="AF54" s="119">
        <f>AE54*8000</f>
        <v>8000</v>
      </c>
      <c r="AG54" s="54"/>
      <c r="AH54" s="54"/>
      <c r="AI54" s="54"/>
      <c r="AJ54" s="119"/>
      <c r="AK54" s="54"/>
      <c r="AL54" s="54"/>
      <c r="AM54" s="54">
        <v>1</v>
      </c>
      <c r="AN54" s="119">
        <f>AM54*8000</f>
        <v>8000</v>
      </c>
      <c r="AO54" s="54"/>
      <c r="AP54" s="54"/>
      <c r="AQ54" s="54"/>
      <c r="AR54" s="119"/>
      <c r="AS54" s="54"/>
      <c r="AT54" s="54"/>
      <c r="AU54" s="47"/>
      <c r="AV54" s="119"/>
      <c r="AW54" s="54"/>
      <c r="AX54" s="54"/>
      <c r="AY54" s="54"/>
      <c r="AZ54" s="119"/>
      <c r="BA54" s="54"/>
      <c r="BB54" s="54"/>
      <c r="BC54" s="54">
        <v>1</v>
      </c>
      <c r="BD54" s="119">
        <f>BC54*8000</f>
        <v>8000</v>
      </c>
      <c r="BE54" s="54"/>
      <c r="BF54" s="54"/>
      <c r="BG54" s="54">
        <v>1</v>
      </c>
      <c r="BH54" s="119">
        <f>BG54*8000</f>
        <v>8000</v>
      </c>
      <c r="BI54" s="54"/>
      <c r="BJ54" s="180"/>
    </row>
    <row r="55" spans="1:62" s="38" customFormat="1" x14ac:dyDescent="0.2">
      <c r="A55" s="143"/>
      <c r="B55" s="48" t="s">
        <v>69</v>
      </c>
      <c r="C55" s="64">
        <f t="shared" si="18"/>
        <v>0</v>
      </c>
      <c r="D55" s="64">
        <f t="shared" si="19"/>
        <v>0</v>
      </c>
      <c r="E55" s="64">
        <f t="shared" si="20"/>
        <v>0</v>
      </c>
      <c r="F55" s="64">
        <f t="shared" si="21"/>
        <v>0</v>
      </c>
      <c r="G55" s="54"/>
      <c r="H55" s="119"/>
      <c r="I55" s="54"/>
      <c r="J55" s="54"/>
      <c r="K55" s="54"/>
      <c r="L55" s="119">
        <f>K55*5000</f>
        <v>0</v>
      </c>
      <c r="M55" s="54"/>
      <c r="N55" s="54"/>
      <c r="O55" s="54"/>
      <c r="P55" s="119"/>
      <c r="Q55" s="54"/>
      <c r="R55" s="54"/>
      <c r="S55" s="54"/>
      <c r="T55" s="119"/>
      <c r="U55" s="54"/>
      <c r="V55" s="54"/>
      <c r="W55" s="54"/>
      <c r="X55" s="119"/>
      <c r="Y55" s="54"/>
      <c r="Z55" s="54"/>
      <c r="AA55" s="54"/>
      <c r="AB55" s="119"/>
      <c r="AC55" s="54"/>
      <c r="AD55" s="54"/>
      <c r="AE55" s="54"/>
      <c r="AF55" s="119">
        <f>AE55*5000</f>
        <v>0</v>
      </c>
      <c r="AG55" s="54"/>
      <c r="AH55" s="54"/>
      <c r="AI55" s="54"/>
      <c r="AJ55" s="119"/>
      <c r="AK55" s="54"/>
      <c r="AL55" s="54"/>
      <c r="AM55" s="54"/>
      <c r="AN55" s="119">
        <f>AM55*5000</f>
        <v>0</v>
      </c>
      <c r="AO55" s="54"/>
      <c r="AP55" s="54"/>
      <c r="AQ55" s="54"/>
      <c r="AR55" s="119"/>
      <c r="AS55" s="54"/>
      <c r="AT55" s="54"/>
      <c r="AU55" s="54"/>
      <c r="AV55" s="119"/>
      <c r="AW55" s="54"/>
      <c r="AX55" s="54"/>
      <c r="AY55" s="54"/>
      <c r="AZ55" s="119"/>
      <c r="BA55" s="54"/>
      <c r="BB55" s="54"/>
      <c r="BC55" s="54"/>
      <c r="BD55" s="119"/>
      <c r="BE55" s="54"/>
      <c r="BF55" s="54"/>
      <c r="BG55" s="54"/>
      <c r="BH55" s="119"/>
      <c r="BI55" s="54"/>
      <c r="BJ55" s="180"/>
    </row>
    <row r="56" spans="1:62" s="38" customFormat="1" ht="15" x14ac:dyDescent="0.25">
      <c r="A56" s="143"/>
      <c r="B56" s="48" t="s">
        <v>70</v>
      </c>
      <c r="C56" s="64">
        <f t="shared" si="18"/>
        <v>0</v>
      </c>
      <c r="D56" s="64">
        <f t="shared" si="19"/>
        <v>0</v>
      </c>
      <c r="E56" s="64">
        <f t="shared" si="20"/>
        <v>0</v>
      </c>
      <c r="F56" s="64">
        <f t="shared" si="21"/>
        <v>0</v>
      </c>
      <c r="G56" s="54"/>
      <c r="H56" s="119"/>
      <c r="I56" s="54"/>
      <c r="J56" s="54"/>
      <c r="K56" s="54"/>
      <c r="L56" s="119"/>
      <c r="M56" s="54"/>
      <c r="N56" s="54"/>
      <c r="O56" s="54"/>
      <c r="P56" s="119"/>
      <c r="Q56" s="54"/>
      <c r="R56" s="54"/>
      <c r="S56" s="54"/>
      <c r="T56" s="119"/>
      <c r="U56" s="54"/>
      <c r="V56" s="54"/>
      <c r="W56" s="54"/>
      <c r="X56" s="119"/>
      <c r="Y56" s="54"/>
      <c r="Z56" s="54"/>
      <c r="AA56" s="54"/>
      <c r="AB56" s="119"/>
      <c r="AC56" s="54"/>
      <c r="AD56" s="54"/>
      <c r="AE56" s="54"/>
      <c r="AF56" s="119"/>
      <c r="AG56" s="54"/>
      <c r="AH56" s="54"/>
      <c r="AI56" s="54"/>
      <c r="AJ56" s="119"/>
      <c r="AK56" s="54"/>
      <c r="AL56" s="54"/>
      <c r="AM56" s="47"/>
      <c r="AN56" s="119"/>
      <c r="AO56" s="54"/>
      <c r="AP56" s="54"/>
      <c r="AQ56" s="54"/>
      <c r="AR56" s="119"/>
      <c r="AS56" s="54"/>
      <c r="AT56" s="54"/>
      <c r="AU56" s="47"/>
      <c r="AV56" s="119"/>
      <c r="AW56" s="54"/>
      <c r="AX56" s="54"/>
      <c r="AY56" s="54"/>
      <c r="AZ56" s="119"/>
      <c r="BA56" s="54"/>
      <c r="BB56" s="54"/>
      <c r="BC56" s="54"/>
      <c r="BD56" s="119"/>
      <c r="BE56" s="54"/>
      <c r="BF56" s="54"/>
      <c r="BG56" s="54"/>
      <c r="BH56" s="119"/>
      <c r="BI56" s="54"/>
      <c r="BJ56" s="180"/>
    </row>
    <row r="57" spans="1:62" s="38" customFormat="1" x14ac:dyDescent="0.2">
      <c r="A57" s="143"/>
      <c r="B57" s="48" t="s">
        <v>71</v>
      </c>
      <c r="C57" s="64">
        <f t="shared" ref="C57:F59" si="22">G57+K57+O57+S57+W57+AA57+AE57+AI57+AM57+AQ57+AU57+AY57+BC57+BG57</f>
        <v>5</v>
      </c>
      <c r="D57" s="64">
        <f t="shared" si="22"/>
        <v>50000</v>
      </c>
      <c r="E57" s="64">
        <f t="shared" si="22"/>
        <v>0</v>
      </c>
      <c r="F57" s="64">
        <f t="shared" si="22"/>
        <v>0</v>
      </c>
      <c r="G57" s="54">
        <v>1</v>
      </c>
      <c r="H57" s="119">
        <f>G57*10000</f>
        <v>10000</v>
      </c>
      <c r="I57" s="54"/>
      <c r="J57" s="54"/>
      <c r="K57" s="54"/>
      <c r="L57" s="119"/>
      <c r="M57" s="54"/>
      <c r="N57" s="54"/>
      <c r="O57" s="54"/>
      <c r="P57" s="119"/>
      <c r="Q57" s="54"/>
      <c r="R57" s="54"/>
      <c r="S57" s="54"/>
      <c r="T57" s="119"/>
      <c r="U57" s="54"/>
      <c r="V57" s="54"/>
      <c r="W57" s="54"/>
      <c r="X57" s="119"/>
      <c r="Y57" s="54"/>
      <c r="Z57" s="54"/>
      <c r="AA57" s="54"/>
      <c r="AB57" s="119"/>
      <c r="AC57" s="54"/>
      <c r="AD57" s="54"/>
      <c r="AE57" s="54">
        <v>1</v>
      </c>
      <c r="AF57" s="119">
        <f>AE57*10000</f>
        <v>10000</v>
      </c>
      <c r="AG57" s="54"/>
      <c r="AH57" s="54"/>
      <c r="AI57" s="54">
        <v>1</v>
      </c>
      <c r="AJ57" s="119">
        <f>AI57*10000</f>
        <v>10000</v>
      </c>
      <c r="AK57" s="54"/>
      <c r="AL57" s="54"/>
      <c r="AM57" s="54">
        <v>1</v>
      </c>
      <c r="AN57" s="119">
        <f>AM57*10000</f>
        <v>10000</v>
      </c>
      <c r="AO57" s="54"/>
      <c r="AP57" s="54"/>
      <c r="AQ57" s="54"/>
      <c r="AR57" s="119"/>
      <c r="AS57" s="54"/>
      <c r="AT57" s="54"/>
      <c r="AU57" s="54"/>
      <c r="AV57" s="119"/>
      <c r="AW57" s="54"/>
      <c r="AX57" s="54"/>
      <c r="AY57" s="54"/>
      <c r="AZ57" s="119"/>
      <c r="BA57" s="54"/>
      <c r="BB57" s="54"/>
      <c r="BC57" s="54"/>
      <c r="BD57" s="119"/>
      <c r="BE57" s="54"/>
      <c r="BF57" s="54"/>
      <c r="BG57" s="54">
        <v>1</v>
      </c>
      <c r="BH57" s="119">
        <f>BG57*10000</f>
        <v>10000</v>
      </c>
      <c r="BI57" s="54"/>
      <c r="BJ57" s="180"/>
    </row>
    <row r="58" spans="1:62" s="38" customFormat="1" x14ac:dyDescent="0.2">
      <c r="A58" s="143"/>
      <c r="B58" s="48" t="s">
        <v>72</v>
      </c>
      <c r="C58" s="64">
        <f t="shared" si="22"/>
        <v>0</v>
      </c>
      <c r="D58" s="64">
        <f t="shared" si="22"/>
        <v>0</v>
      </c>
      <c r="E58" s="64">
        <f t="shared" si="22"/>
        <v>0</v>
      </c>
      <c r="F58" s="64">
        <f t="shared" si="22"/>
        <v>0</v>
      </c>
      <c r="G58" s="54"/>
      <c r="H58" s="119"/>
      <c r="I58" s="54"/>
      <c r="J58" s="54"/>
      <c r="K58" s="54"/>
      <c r="L58" s="119"/>
      <c r="M58" s="54"/>
      <c r="N58" s="54"/>
      <c r="O58" s="54"/>
      <c r="P58" s="119"/>
      <c r="Q58" s="54"/>
      <c r="R58" s="54"/>
      <c r="S58" s="54"/>
      <c r="T58" s="119"/>
      <c r="U58" s="54"/>
      <c r="V58" s="54"/>
      <c r="W58" s="54"/>
      <c r="X58" s="119"/>
      <c r="Y58" s="54"/>
      <c r="Z58" s="54"/>
      <c r="AA58" s="54"/>
      <c r="AB58" s="119"/>
      <c r="AC58" s="54"/>
      <c r="AD58" s="54"/>
      <c r="AE58" s="54"/>
      <c r="AF58" s="119"/>
      <c r="AG58" s="54"/>
      <c r="AH58" s="54"/>
      <c r="AI58" s="54"/>
      <c r="AJ58" s="119"/>
      <c r="AK58" s="54"/>
      <c r="AL58" s="54"/>
      <c r="AM58" s="54"/>
      <c r="AN58" s="119"/>
      <c r="AO58" s="54"/>
      <c r="AP58" s="54"/>
      <c r="AQ58" s="54"/>
      <c r="AR58" s="119"/>
      <c r="AS58" s="54"/>
      <c r="AT58" s="54"/>
      <c r="AU58" s="54"/>
      <c r="AV58" s="119"/>
      <c r="AW58" s="54"/>
      <c r="AX58" s="54"/>
      <c r="AY58" s="54"/>
      <c r="AZ58" s="119"/>
      <c r="BA58" s="54"/>
      <c r="BB58" s="54"/>
      <c r="BC58" s="54"/>
      <c r="BD58" s="119"/>
      <c r="BE58" s="54"/>
      <c r="BF58" s="54"/>
      <c r="BG58" s="54"/>
      <c r="BH58" s="119"/>
      <c r="BI58" s="54"/>
      <c r="BJ58" s="180"/>
    </row>
    <row r="59" spans="1:62" s="38" customFormat="1" ht="13.5" thickBot="1" x14ac:dyDescent="0.25">
      <c r="A59" s="195"/>
      <c r="B59" s="182" t="s">
        <v>73</v>
      </c>
      <c r="C59" s="239">
        <f>G59+K59+O59+S59+W59+AA59+AE59+AI59+AM59+AQ59+AU59+AY59+BC59+BG59</f>
        <v>11</v>
      </c>
      <c r="D59" s="239">
        <f>H59+L59+P59+T59+X59+AB59+AF59+AJ59+AN59+AR59+AV59+AZ59+BD59+BH59</f>
        <v>4579500</v>
      </c>
      <c r="E59" s="239">
        <f t="shared" si="22"/>
        <v>0</v>
      </c>
      <c r="F59" s="239">
        <f t="shared" si="22"/>
        <v>0</v>
      </c>
      <c r="G59" s="200">
        <v>1</v>
      </c>
      <c r="H59" s="184">
        <f>1200000+34500</f>
        <v>1234500</v>
      </c>
      <c r="I59" s="200"/>
      <c r="J59" s="200"/>
      <c r="K59" s="200">
        <v>1</v>
      </c>
      <c r="L59" s="184">
        <f>240000+34500</f>
        <v>274500</v>
      </c>
      <c r="M59" s="200"/>
      <c r="N59" s="200"/>
      <c r="O59" s="200">
        <v>1</v>
      </c>
      <c r="P59" s="184">
        <f>240000+34500</f>
        <v>274500</v>
      </c>
      <c r="Q59" s="200"/>
      <c r="R59" s="200"/>
      <c r="S59" s="200">
        <v>1</v>
      </c>
      <c r="T59" s="184">
        <f>240000+34500</f>
        <v>274500</v>
      </c>
      <c r="U59" s="200"/>
      <c r="V59" s="200"/>
      <c r="W59" s="200"/>
      <c r="X59" s="184"/>
      <c r="Y59" s="200"/>
      <c r="Z59" s="200"/>
      <c r="AA59" s="200">
        <v>1</v>
      </c>
      <c r="AB59" s="184">
        <f>360000+34500</f>
        <v>394500</v>
      </c>
      <c r="AC59" s="200"/>
      <c r="AD59" s="200"/>
      <c r="AE59" s="200">
        <v>1</v>
      </c>
      <c r="AF59" s="184">
        <f>180000+34500</f>
        <v>214500</v>
      </c>
      <c r="AG59" s="200"/>
      <c r="AH59" s="200"/>
      <c r="AI59" s="200"/>
      <c r="AJ59" s="184"/>
      <c r="AK59" s="200"/>
      <c r="AL59" s="200"/>
      <c r="AM59" s="200">
        <v>1</v>
      </c>
      <c r="AN59" s="184">
        <f>360000+34500</f>
        <v>394500</v>
      </c>
      <c r="AO59" s="200"/>
      <c r="AP59" s="200"/>
      <c r="AQ59" s="200">
        <v>1</v>
      </c>
      <c r="AR59" s="184">
        <f>360000+34500</f>
        <v>394500</v>
      </c>
      <c r="AS59" s="200"/>
      <c r="AT59" s="200"/>
      <c r="AU59" s="200">
        <v>1</v>
      </c>
      <c r="AV59" s="184">
        <f>420000+34500</f>
        <v>454500</v>
      </c>
      <c r="AW59" s="200"/>
      <c r="AX59" s="200"/>
      <c r="AY59" s="200">
        <v>1</v>
      </c>
      <c r="AZ59" s="184">
        <f>360000+34500</f>
        <v>394500</v>
      </c>
      <c r="BA59" s="200"/>
      <c r="BB59" s="200"/>
      <c r="BC59" s="200">
        <v>1</v>
      </c>
      <c r="BD59" s="184">
        <f>240000+34500</f>
        <v>274500</v>
      </c>
      <c r="BE59" s="200"/>
      <c r="BF59" s="200"/>
      <c r="BG59" s="200"/>
      <c r="BH59" s="184"/>
      <c r="BI59" s="200"/>
      <c r="BJ59" s="186"/>
    </row>
    <row r="60" spans="1:62" ht="13.5" thickBot="1" x14ac:dyDescent="0.25">
      <c r="A60" s="278"/>
      <c r="B60" s="233" t="s">
        <v>156</v>
      </c>
      <c r="C60" s="234">
        <f t="shared" ref="C60:H60" si="23">SUM(C50:C59)</f>
        <v>114</v>
      </c>
      <c r="D60" s="234">
        <f t="shared" si="23"/>
        <v>5417500</v>
      </c>
      <c r="E60" s="234">
        <f t="shared" si="23"/>
        <v>0</v>
      </c>
      <c r="F60" s="234">
        <f t="shared" si="23"/>
        <v>0</v>
      </c>
      <c r="G60" s="234">
        <f t="shared" si="23"/>
        <v>22</v>
      </c>
      <c r="H60" s="234">
        <f t="shared" si="23"/>
        <v>1402500</v>
      </c>
      <c r="I60" s="234">
        <f t="shared" ref="I60:AN60" si="24">SUM(I50:I58)</f>
        <v>0</v>
      </c>
      <c r="J60" s="234">
        <f t="shared" si="24"/>
        <v>0</v>
      </c>
      <c r="K60" s="234">
        <f t="shared" si="24"/>
        <v>8</v>
      </c>
      <c r="L60" s="234">
        <f t="shared" si="24"/>
        <v>55000</v>
      </c>
      <c r="M60" s="234">
        <f t="shared" si="24"/>
        <v>0</v>
      </c>
      <c r="N60" s="234">
        <f t="shared" si="24"/>
        <v>0</v>
      </c>
      <c r="O60" s="234">
        <f t="shared" si="24"/>
        <v>3</v>
      </c>
      <c r="P60" s="234">
        <f t="shared" si="24"/>
        <v>42000</v>
      </c>
      <c r="Q60" s="234">
        <f t="shared" si="24"/>
        <v>0</v>
      </c>
      <c r="R60" s="234">
        <f t="shared" si="24"/>
        <v>0</v>
      </c>
      <c r="S60" s="234">
        <f t="shared" si="24"/>
        <v>0</v>
      </c>
      <c r="T60" s="234">
        <f t="shared" si="24"/>
        <v>0</v>
      </c>
      <c r="U60" s="234">
        <f t="shared" si="24"/>
        <v>0</v>
      </c>
      <c r="V60" s="234">
        <f t="shared" si="24"/>
        <v>0</v>
      </c>
      <c r="W60" s="234">
        <f t="shared" si="24"/>
        <v>4</v>
      </c>
      <c r="X60" s="234">
        <f t="shared" si="24"/>
        <v>52000</v>
      </c>
      <c r="Y60" s="234">
        <f t="shared" si="24"/>
        <v>0</v>
      </c>
      <c r="Z60" s="234">
        <f t="shared" si="24"/>
        <v>0</v>
      </c>
      <c r="AA60" s="234">
        <f t="shared" si="24"/>
        <v>8</v>
      </c>
      <c r="AB60" s="234">
        <f t="shared" si="24"/>
        <v>60000</v>
      </c>
      <c r="AC60" s="234">
        <f t="shared" si="24"/>
        <v>0</v>
      </c>
      <c r="AD60" s="234">
        <f t="shared" si="24"/>
        <v>0</v>
      </c>
      <c r="AE60" s="234">
        <f t="shared" si="24"/>
        <v>7</v>
      </c>
      <c r="AF60" s="234">
        <f t="shared" si="24"/>
        <v>54000</v>
      </c>
      <c r="AG60" s="234">
        <f t="shared" si="24"/>
        <v>0</v>
      </c>
      <c r="AH60" s="234">
        <f t="shared" si="24"/>
        <v>0</v>
      </c>
      <c r="AI60" s="234">
        <f t="shared" si="24"/>
        <v>2</v>
      </c>
      <c r="AJ60" s="234">
        <f t="shared" si="24"/>
        <v>16000</v>
      </c>
      <c r="AK60" s="234">
        <f t="shared" si="24"/>
        <v>0</v>
      </c>
      <c r="AL60" s="234">
        <f t="shared" si="24"/>
        <v>0</v>
      </c>
      <c r="AM60" s="234">
        <f t="shared" si="24"/>
        <v>8</v>
      </c>
      <c r="AN60" s="234">
        <f t="shared" si="24"/>
        <v>62000</v>
      </c>
      <c r="AO60" s="234">
        <f t="shared" ref="AO60:BJ60" si="25">SUM(AO50:AO58)</f>
        <v>0</v>
      </c>
      <c r="AP60" s="234">
        <f t="shared" si="25"/>
        <v>0</v>
      </c>
      <c r="AQ60" s="234">
        <f t="shared" si="25"/>
        <v>2</v>
      </c>
      <c r="AR60" s="234">
        <f t="shared" si="25"/>
        <v>16000</v>
      </c>
      <c r="AS60" s="234">
        <f t="shared" si="25"/>
        <v>0</v>
      </c>
      <c r="AT60" s="234">
        <f t="shared" si="25"/>
        <v>0</v>
      </c>
      <c r="AU60" s="234">
        <f t="shared" si="25"/>
        <v>3</v>
      </c>
      <c r="AV60" s="234">
        <f t="shared" si="25"/>
        <v>15000</v>
      </c>
      <c r="AW60" s="234">
        <f t="shared" si="25"/>
        <v>0</v>
      </c>
      <c r="AX60" s="234">
        <f t="shared" si="25"/>
        <v>0</v>
      </c>
      <c r="AY60" s="234">
        <f t="shared" si="25"/>
        <v>2</v>
      </c>
      <c r="AZ60" s="234">
        <f t="shared" si="25"/>
        <v>16000</v>
      </c>
      <c r="BA60" s="234">
        <f t="shared" si="25"/>
        <v>0</v>
      </c>
      <c r="BB60" s="234">
        <f t="shared" si="25"/>
        <v>0</v>
      </c>
      <c r="BC60" s="234">
        <f t="shared" si="25"/>
        <v>9</v>
      </c>
      <c r="BD60" s="234">
        <f t="shared" si="25"/>
        <v>73000</v>
      </c>
      <c r="BE60" s="234">
        <f t="shared" si="25"/>
        <v>0</v>
      </c>
      <c r="BF60" s="234">
        <f t="shared" si="25"/>
        <v>0</v>
      </c>
      <c r="BG60" s="234">
        <f t="shared" si="25"/>
        <v>26</v>
      </c>
      <c r="BH60" s="234">
        <f t="shared" si="25"/>
        <v>209000</v>
      </c>
      <c r="BI60" s="234">
        <f t="shared" si="25"/>
        <v>0</v>
      </c>
      <c r="BJ60" s="234">
        <f t="shared" si="25"/>
        <v>0</v>
      </c>
    </row>
    <row r="61" spans="1:62" x14ac:dyDescent="0.2">
      <c r="A61" s="175" t="s">
        <v>7</v>
      </c>
      <c r="B61" s="176" t="s">
        <v>74</v>
      </c>
      <c r="C61" s="177"/>
      <c r="D61" s="178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9"/>
    </row>
    <row r="62" spans="1:62" s="38" customFormat="1" ht="15" x14ac:dyDescent="0.25">
      <c r="A62" s="25"/>
      <c r="B62" s="135" t="s">
        <v>75</v>
      </c>
      <c r="C62" s="64">
        <f t="shared" ref="C62:C72" si="26">G62+K62+O62+S62+W62+AA62+AE62+AI62+AM62+AQ62+AU62+AY62+BC62+BG62</f>
        <v>4</v>
      </c>
      <c r="D62" s="64">
        <f>H62+L62+P62+T62+X62+AB62+AF62+AJ62+AN62+AR62+AV62+AZ62+BD62+BH62</f>
        <v>520000</v>
      </c>
      <c r="E62" s="64">
        <f t="shared" ref="E62:E72" si="27">I62+M62+Q62+U62+Y62+AC62+AG62+AK62+AO62+AS62+AW62+BA62+BE62+BI62</f>
        <v>0</v>
      </c>
      <c r="F62" s="64">
        <f t="shared" ref="F62:F72" si="28">J62+N62+R62+V62+Z62+AD62+AH62+AL62+AP62+AT62+AX62+BB62+BF62+BJ62</f>
        <v>0</v>
      </c>
      <c r="G62" s="54"/>
      <c r="H62" s="119"/>
      <c r="I62" s="54"/>
      <c r="J62" s="54"/>
      <c r="K62" s="54"/>
      <c r="L62" s="119"/>
      <c r="M62" s="54"/>
      <c r="N62" s="54"/>
      <c r="O62" s="54"/>
      <c r="P62" s="119"/>
      <c r="Q62" s="54"/>
      <c r="R62" s="54"/>
      <c r="S62" s="54">
        <v>1</v>
      </c>
      <c r="T62" s="54">
        <f>S62*130000</f>
        <v>130000</v>
      </c>
      <c r="U62" s="54"/>
      <c r="V62" s="54"/>
      <c r="W62" s="54">
        <v>1</v>
      </c>
      <c r="X62" s="54">
        <f>W62*130000</f>
        <v>130000</v>
      </c>
      <c r="Y62" s="54"/>
      <c r="Z62" s="54"/>
      <c r="AA62" s="54"/>
      <c r="AB62" s="119"/>
      <c r="AC62" s="54"/>
      <c r="AD62" s="54"/>
      <c r="AE62" s="54"/>
      <c r="AF62" s="119"/>
      <c r="AG62" s="54"/>
      <c r="AH62" s="54"/>
      <c r="AI62" s="54">
        <v>1</v>
      </c>
      <c r="AJ62" s="54">
        <f>AI62*130000</f>
        <v>130000</v>
      </c>
      <c r="AK62" s="54"/>
      <c r="AL62" s="54"/>
      <c r="AM62" s="54"/>
      <c r="AN62" s="119"/>
      <c r="AO62" s="54"/>
      <c r="AP62" s="54"/>
      <c r="AQ62" s="47"/>
      <c r="AR62" s="119"/>
      <c r="AS62" s="54"/>
      <c r="AT62" s="54"/>
      <c r="AU62" s="54"/>
      <c r="AV62" s="119"/>
      <c r="AW62" s="54"/>
      <c r="AX62" s="54"/>
      <c r="AY62" s="54"/>
      <c r="AZ62" s="119"/>
      <c r="BA62" s="54"/>
      <c r="BB62" s="54"/>
      <c r="BC62" s="54"/>
      <c r="BD62" s="119"/>
      <c r="BE62" s="54"/>
      <c r="BF62" s="54"/>
      <c r="BG62" s="54">
        <v>1</v>
      </c>
      <c r="BH62" s="54">
        <f>BG62*130000</f>
        <v>130000</v>
      </c>
      <c r="BI62" s="54"/>
      <c r="BJ62" s="180"/>
    </row>
    <row r="63" spans="1:62" s="38" customFormat="1" x14ac:dyDescent="0.2">
      <c r="A63" s="25"/>
      <c r="B63" s="135" t="s">
        <v>76</v>
      </c>
      <c r="C63" s="64">
        <f t="shared" si="26"/>
        <v>0</v>
      </c>
      <c r="D63" s="64">
        <f t="shared" ref="D63:D72" si="29">H63+L63+P63+T63+X63+AB63+AF63+AJ63+AN63+AR63+AV63+AZ63+BD63+BH63</f>
        <v>0</v>
      </c>
      <c r="E63" s="64">
        <f t="shared" si="27"/>
        <v>0</v>
      </c>
      <c r="F63" s="64">
        <f t="shared" si="28"/>
        <v>0</v>
      </c>
      <c r="G63" s="54"/>
      <c r="H63" s="119"/>
      <c r="I63" s="54"/>
      <c r="J63" s="54"/>
      <c r="K63" s="54"/>
      <c r="L63" s="119"/>
      <c r="M63" s="54"/>
      <c r="N63" s="54"/>
      <c r="O63" s="54"/>
      <c r="P63" s="119"/>
      <c r="Q63" s="54"/>
      <c r="R63" s="54"/>
      <c r="S63" s="54"/>
      <c r="T63" s="119"/>
      <c r="U63" s="54"/>
      <c r="V63" s="54"/>
      <c r="W63" s="54"/>
      <c r="X63" s="119"/>
      <c r="Y63" s="54"/>
      <c r="Z63" s="54"/>
      <c r="AA63" s="54"/>
      <c r="AB63" s="119"/>
      <c r="AC63" s="54"/>
      <c r="AD63" s="54"/>
      <c r="AE63" s="54"/>
      <c r="AF63" s="119"/>
      <c r="AG63" s="54"/>
      <c r="AH63" s="54"/>
      <c r="AI63" s="54"/>
      <c r="AJ63" s="119"/>
      <c r="AK63" s="54"/>
      <c r="AL63" s="54"/>
      <c r="AM63" s="54"/>
      <c r="AN63" s="119"/>
      <c r="AO63" s="54"/>
      <c r="AP63" s="54"/>
      <c r="AQ63" s="54"/>
      <c r="AR63" s="119"/>
      <c r="AS63" s="54"/>
      <c r="AT63" s="54"/>
      <c r="AU63" s="54"/>
      <c r="AV63" s="119"/>
      <c r="AW63" s="54"/>
      <c r="AX63" s="54"/>
      <c r="AY63" s="54"/>
      <c r="AZ63" s="119"/>
      <c r="BA63" s="54"/>
      <c r="BB63" s="54"/>
      <c r="BC63" s="54"/>
      <c r="BD63" s="119"/>
      <c r="BE63" s="54"/>
      <c r="BF63" s="54"/>
      <c r="BG63" s="54"/>
      <c r="BH63" s="119"/>
      <c r="BI63" s="54"/>
      <c r="BJ63" s="180"/>
    </row>
    <row r="64" spans="1:62" s="38" customFormat="1" ht="15" x14ac:dyDescent="0.25">
      <c r="A64" s="25"/>
      <c r="B64" s="135" t="s">
        <v>77</v>
      </c>
      <c r="C64" s="64">
        <f t="shared" si="26"/>
        <v>10</v>
      </c>
      <c r="D64" s="64">
        <f t="shared" si="29"/>
        <v>30000</v>
      </c>
      <c r="E64" s="64">
        <f t="shared" si="27"/>
        <v>0</v>
      </c>
      <c r="F64" s="64">
        <f t="shared" si="28"/>
        <v>0</v>
      </c>
      <c r="G64" s="54"/>
      <c r="H64" s="119"/>
      <c r="I64" s="54"/>
      <c r="J64" s="54"/>
      <c r="K64" s="54">
        <v>2</v>
      </c>
      <c r="L64" s="119">
        <f>K64*3000</f>
        <v>6000</v>
      </c>
      <c r="M64" s="54"/>
      <c r="N64" s="54"/>
      <c r="O64" s="47"/>
      <c r="P64" s="47"/>
      <c r="Q64" s="54"/>
      <c r="R64" s="54"/>
      <c r="S64" s="54"/>
      <c r="T64" s="119"/>
      <c r="U64" s="54"/>
      <c r="V64" s="54"/>
      <c r="W64" s="54"/>
      <c r="X64" s="119"/>
      <c r="Y64" s="54"/>
      <c r="Z64" s="54"/>
      <c r="AA64" s="54"/>
      <c r="AB64" s="119"/>
      <c r="AC64" s="54"/>
      <c r="AD64" s="54"/>
      <c r="AE64" s="54">
        <v>1</v>
      </c>
      <c r="AF64" s="119">
        <f>AE64*3000</f>
        <v>3000</v>
      </c>
      <c r="AG64" s="54"/>
      <c r="AH64" s="54"/>
      <c r="AI64" s="54"/>
      <c r="AJ64" s="119"/>
      <c r="AK64" s="54"/>
      <c r="AL64" s="54"/>
      <c r="AM64" s="54">
        <v>2</v>
      </c>
      <c r="AN64" s="119">
        <f>AM64*3000</f>
        <v>6000</v>
      </c>
      <c r="AO64" s="54"/>
      <c r="AP64" s="54"/>
      <c r="AQ64" s="54"/>
      <c r="AR64" s="119"/>
      <c r="AS64" s="54"/>
      <c r="AT64" s="54"/>
      <c r="AU64" s="47"/>
      <c r="AV64" s="119"/>
      <c r="AW64" s="54"/>
      <c r="AX64" s="54"/>
      <c r="AY64" s="54">
        <v>1</v>
      </c>
      <c r="AZ64" s="119">
        <f>AY64*3000</f>
        <v>3000</v>
      </c>
      <c r="BA64" s="54"/>
      <c r="BB64" s="54"/>
      <c r="BC64" s="54">
        <v>2</v>
      </c>
      <c r="BD64" s="119">
        <f>BC64*3000</f>
        <v>6000</v>
      </c>
      <c r="BE64" s="54"/>
      <c r="BF64" s="54"/>
      <c r="BG64" s="54">
        <v>2</v>
      </c>
      <c r="BH64" s="119">
        <f>BG64*3000</f>
        <v>6000</v>
      </c>
      <c r="BI64" s="54"/>
      <c r="BJ64" s="180"/>
    </row>
    <row r="65" spans="1:62" s="38" customFormat="1" x14ac:dyDescent="0.2">
      <c r="A65" s="25"/>
      <c r="B65" s="135" t="s">
        <v>78</v>
      </c>
      <c r="C65" s="64">
        <f t="shared" si="26"/>
        <v>2</v>
      </c>
      <c r="D65" s="64">
        <f t="shared" si="29"/>
        <v>5000</v>
      </c>
      <c r="E65" s="64">
        <f t="shared" si="27"/>
        <v>0</v>
      </c>
      <c r="F65" s="64">
        <f t="shared" si="28"/>
        <v>0</v>
      </c>
      <c r="G65" s="54">
        <v>2</v>
      </c>
      <c r="H65" s="119">
        <f>G65*2500</f>
        <v>5000</v>
      </c>
      <c r="I65" s="54"/>
      <c r="J65" s="54"/>
      <c r="K65" s="54"/>
      <c r="L65" s="119"/>
      <c r="M65" s="54"/>
      <c r="N65" s="54"/>
      <c r="O65" s="54"/>
      <c r="P65" s="119"/>
      <c r="Q65" s="54"/>
      <c r="R65" s="54"/>
      <c r="S65" s="54"/>
      <c r="T65" s="119"/>
      <c r="U65" s="54"/>
      <c r="V65" s="54"/>
      <c r="W65" s="54"/>
      <c r="X65" s="119"/>
      <c r="Y65" s="54"/>
      <c r="Z65" s="54"/>
      <c r="AA65" s="54"/>
      <c r="AB65" s="119"/>
      <c r="AC65" s="54"/>
      <c r="AD65" s="54"/>
      <c r="AE65" s="54"/>
      <c r="AF65" s="119"/>
      <c r="AG65" s="54"/>
      <c r="AH65" s="54"/>
      <c r="AI65" s="54"/>
      <c r="AJ65" s="119"/>
      <c r="AK65" s="54"/>
      <c r="AL65" s="54"/>
      <c r="AM65" s="54"/>
      <c r="AN65" s="119"/>
      <c r="AO65" s="54"/>
      <c r="AP65" s="54"/>
      <c r="AQ65" s="54"/>
      <c r="AR65" s="119"/>
      <c r="AS65" s="54"/>
      <c r="AT65" s="54"/>
      <c r="AU65" s="54"/>
      <c r="AV65" s="119"/>
      <c r="AW65" s="54"/>
      <c r="AX65" s="54"/>
      <c r="AY65" s="54"/>
      <c r="AZ65" s="119"/>
      <c r="BA65" s="54"/>
      <c r="BB65" s="54"/>
      <c r="BC65" s="54"/>
      <c r="BD65" s="119"/>
      <c r="BE65" s="54"/>
      <c r="BF65" s="54"/>
      <c r="BG65" s="54"/>
      <c r="BH65" s="119"/>
      <c r="BI65" s="54"/>
      <c r="BJ65" s="180"/>
    </row>
    <row r="66" spans="1:62" s="38" customFormat="1" x14ac:dyDescent="0.2">
      <c r="A66" s="25"/>
      <c r="B66" s="135" t="s">
        <v>79</v>
      </c>
      <c r="C66" s="64">
        <f t="shared" si="26"/>
        <v>8</v>
      </c>
      <c r="D66" s="64">
        <f t="shared" si="29"/>
        <v>64000</v>
      </c>
      <c r="E66" s="64">
        <f t="shared" si="27"/>
        <v>0</v>
      </c>
      <c r="F66" s="64">
        <f t="shared" si="28"/>
        <v>0</v>
      </c>
      <c r="G66" s="54"/>
      <c r="H66" s="119"/>
      <c r="I66" s="54"/>
      <c r="J66" s="54"/>
      <c r="K66" s="54">
        <v>1</v>
      </c>
      <c r="L66" s="119">
        <f>K66*8000</f>
        <v>8000</v>
      </c>
      <c r="M66" s="54"/>
      <c r="N66" s="54"/>
      <c r="O66" s="54"/>
      <c r="P66" s="119"/>
      <c r="Q66" s="54"/>
      <c r="R66" s="54"/>
      <c r="S66" s="54"/>
      <c r="T66" s="119"/>
      <c r="U66" s="54"/>
      <c r="V66" s="54"/>
      <c r="W66" s="54"/>
      <c r="X66" s="119"/>
      <c r="Y66" s="54"/>
      <c r="Z66" s="54"/>
      <c r="AA66" s="54"/>
      <c r="AB66" s="119"/>
      <c r="AC66" s="54"/>
      <c r="AD66" s="54"/>
      <c r="AE66" s="54">
        <v>1</v>
      </c>
      <c r="AF66" s="119">
        <f>AE66*8000</f>
        <v>8000</v>
      </c>
      <c r="AG66" s="54"/>
      <c r="AH66" s="54"/>
      <c r="AI66" s="54">
        <v>2</v>
      </c>
      <c r="AJ66" s="119">
        <f>AI66*8000</f>
        <v>16000</v>
      </c>
      <c r="AK66" s="54"/>
      <c r="AL66" s="54"/>
      <c r="AM66" s="54"/>
      <c r="AN66" s="119"/>
      <c r="AO66" s="54"/>
      <c r="AP66" s="54"/>
      <c r="AQ66" s="54"/>
      <c r="AR66" s="119"/>
      <c r="AS66" s="54"/>
      <c r="AT66" s="54"/>
      <c r="AU66" s="54"/>
      <c r="AV66" s="119"/>
      <c r="AW66" s="54"/>
      <c r="AX66" s="54"/>
      <c r="AY66" s="54"/>
      <c r="AZ66" s="119"/>
      <c r="BA66" s="54"/>
      <c r="BB66" s="54"/>
      <c r="BC66" s="54"/>
      <c r="BD66" s="119"/>
      <c r="BE66" s="54"/>
      <c r="BF66" s="54"/>
      <c r="BG66" s="54">
        <v>4</v>
      </c>
      <c r="BH66" s="119">
        <f>BG66*8000</f>
        <v>32000</v>
      </c>
      <c r="BI66" s="54"/>
      <c r="BJ66" s="180"/>
    </row>
    <row r="67" spans="1:62" s="38" customFormat="1" x14ac:dyDescent="0.2">
      <c r="A67" s="25"/>
      <c r="B67" s="135" t="s">
        <v>80</v>
      </c>
      <c r="C67" s="64">
        <f t="shared" si="26"/>
        <v>0</v>
      </c>
      <c r="D67" s="64">
        <f t="shared" si="29"/>
        <v>0</v>
      </c>
      <c r="E67" s="64">
        <f t="shared" si="27"/>
        <v>0</v>
      </c>
      <c r="F67" s="64">
        <f t="shared" si="28"/>
        <v>0</v>
      </c>
      <c r="G67" s="54"/>
      <c r="H67" s="119"/>
      <c r="I67" s="54"/>
      <c r="J67" s="54"/>
      <c r="K67" s="54"/>
      <c r="L67" s="119"/>
      <c r="M67" s="54"/>
      <c r="N67" s="54"/>
      <c r="O67" s="54"/>
      <c r="P67" s="119"/>
      <c r="Q67" s="54"/>
      <c r="R67" s="54"/>
      <c r="S67" s="54"/>
      <c r="T67" s="119"/>
      <c r="U67" s="54"/>
      <c r="V67" s="54"/>
      <c r="W67" s="54"/>
      <c r="X67" s="119"/>
      <c r="Y67" s="54"/>
      <c r="Z67" s="54"/>
      <c r="AA67" s="54"/>
      <c r="AB67" s="119"/>
      <c r="AC67" s="54"/>
      <c r="AD67" s="54"/>
      <c r="AE67" s="54"/>
      <c r="AF67" s="119"/>
      <c r="AG67" s="54"/>
      <c r="AH67" s="54"/>
      <c r="AI67" s="54"/>
      <c r="AJ67" s="119"/>
      <c r="AK67" s="54"/>
      <c r="AL67" s="54"/>
      <c r="AM67" s="54"/>
      <c r="AN67" s="119"/>
      <c r="AO67" s="54"/>
      <c r="AP67" s="54"/>
      <c r="AQ67" s="54"/>
      <c r="AR67" s="119"/>
      <c r="AS67" s="54"/>
      <c r="AT67" s="54"/>
      <c r="AU67" s="54"/>
      <c r="AV67" s="119"/>
      <c r="AW67" s="54"/>
      <c r="AX67" s="54"/>
      <c r="AY67" s="54"/>
      <c r="AZ67" s="119"/>
      <c r="BA67" s="54"/>
      <c r="BB67" s="54"/>
      <c r="BC67" s="54"/>
      <c r="BD67" s="119"/>
      <c r="BE67" s="54"/>
      <c r="BF67" s="54"/>
      <c r="BG67" s="54"/>
      <c r="BH67" s="119"/>
      <c r="BI67" s="54"/>
      <c r="BJ67" s="180"/>
    </row>
    <row r="68" spans="1:62" s="38" customFormat="1" x14ac:dyDescent="0.2">
      <c r="A68" s="25"/>
      <c r="B68" s="135" t="s">
        <v>81</v>
      </c>
      <c r="C68" s="64">
        <f t="shared" si="26"/>
        <v>1</v>
      </c>
      <c r="D68" s="64">
        <f t="shared" si="29"/>
        <v>30000</v>
      </c>
      <c r="E68" s="64">
        <f t="shared" si="27"/>
        <v>0</v>
      </c>
      <c r="F68" s="64">
        <f t="shared" si="28"/>
        <v>0</v>
      </c>
      <c r="G68" s="54"/>
      <c r="H68" s="119"/>
      <c r="I68" s="54"/>
      <c r="J68" s="54"/>
      <c r="K68" s="54"/>
      <c r="L68" s="119"/>
      <c r="M68" s="54"/>
      <c r="N68" s="54"/>
      <c r="O68" s="54"/>
      <c r="P68" s="119"/>
      <c r="Q68" s="54"/>
      <c r="R68" s="54"/>
      <c r="S68" s="54"/>
      <c r="T68" s="119"/>
      <c r="U68" s="54"/>
      <c r="V68" s="54"/>
      <c r="W68" s="54"/>
      <c r="X68" s="119"/>
      <c r="Y68" s="54"/>
      <c r="Z68" s="54"/>
      <c r="AA68" s="54"/>
      <c r="AB68" s="119"/>
      <c r="AC68" s="54"/>
      <c r="AD68" s="54"/>
      <c r="AE68" s="54"/>
      <c r="AF68" s="119"/>
      <c r="AG68" s="54"/>
      <c r="AH68" s="54"/>
      <c r="AI68" s="54"/>
      <c r="AJ68" s="119"/>
      <c r="AK68" s="54"/>
      <c r="AL68" s="54"/>
      <c r="AM68" s="54"/>
      <c r="AN68" s="119"/>
      <c r="AO68" s="54"/>
      <c r="AP68" s="54"/>
      <c r="AQ68" s="54"/>
      <c r="AR68" s="119"/>
      <c r="AS68" s="54"/>
      <c r="AT68" s="54"/>
      <c r="AU68" s="54"/>
      <c r="AV68" s="119"/>
      <c r="AW68" s="54"/>
      <c r="AX68" s="54"/>
      <c r="AY68" s="54"/>
      <c r="AZ68" s="119"/>
      <c r="BA68" s="54"/>
      <c r="BB68" s="54"/>
      <c r="BC68" s="54">
        <v>1</v>
      </c>
      <c r="BD68" s="119">
        <v>30000</v>
      </c>
      <c r="BE68" s="54"/>
      <c r="BF68" s="54"/>
      <c r="BG68" s="54"/>
      <c r="BH68" s="119"/>
      <c r="BI68" s="54"/>
      <c r="BJ68" s="180"/>
    </row>
    <row r="69" spans="1:62" s="38" customFormat="1" x14ac:dyDescent="0.2">
      <c r="A69" s="25"/>
      <c r="B69" s="135" t="s">
        <v>82</v>
      </c>
      <c r="C69" s="64">
        <f t="shared" si="26"/>
        <v>1</v>
      </c>
      <c r="D69" s="64">
        <f t="shared" si="29"/>
        <v>25000</v>
      </c>
      <c r="E69" s="64">
        <f t="shared" si="27"/>
        <v>0</v>
      </c>
      <c r="F69" s="64">
        <f t="shared" si="28"/>
        <v>0</v>
      </c>
      <c r="G69" s="54"/>
      <c r="H69" s="119"/>
      <c r="I69" s="54"/>
      <c r="J69" s="54"/>
      <c r="K69" s="54"/>
      <c r="L69" s="119"/>
      <c r="M69" s="54"/>
      <c r="N69" s="54"/>
      <c r="O69" s="54"/>
      <c r="P69" s="119"/>
      <c r="Q69" s="54"/>
      <c r="R69" s="54"/>
      <c r="S69" s="54"/>
      <c r="T69" s="119"/>
      <c r="U69" s="54"/>
      <c r="V69" s="54"/>
      <c r="W69" s="54"/>
      <c r="X69" s="119"/>
      <c r="Y69" s="54"/>
      <c r="Z69" s="54"/>
      <c r="AA69" s="54"/>
      <c r="AB69" s="119"/>
      <c r="AC69" s="54"/>
      <c r="AD69" s="54"/>
      <c r="AE69" s="54"/>
      <c r="AF69" s="119"/>
      <c r="AG69" s="54"/>
      <c r="AH69" s="54"/>
      <c r="AI69" s="54"/>
      <c r="AJ69" s="119"/>
      <c r="AK69" s="54"/>
      <c r="AL69" s="54"/>
      <c r="AM69" s="54"/>
      <c r="AN69" s="119"/>
      <c r="AO69" s="54"/>
      <c r="AP69" s="54"/>
      <c r="AQ69" s="54"/>
      <c r="AR69" s="119"/>
      <c r="AS69" s="54"/>
      <c r="AT69" s="54"/>
      <c r="AU69" s="54">
        <v>1</v>
      </c>
      <c r="AV69" s="119">
        <v>25000</v>
      </c>
      <c r="AW69" s="54"/>
      <c r="AX69" s="54"/>
      <c r="AY69" s="54"/>
      <c r="AZ69" s="119"/>
      <c r="BA69" s="54"/>
      <c r="BB69" s="54"/>
      <c r="BC69" s="54"/>
      <c r="BD69" s="119"/>
      <c r="BE69" s="54"/>
      <c r="BF69" s="54"/>
      <c r="BG69" s="54"/>
      <c r="BH69" s="119"/>
      <c r="BI69" s="54"/>
      <c r="BJ69" s="180"/>
    </row>
    <row r="70" spans="1:62" s="38" customFormat="1" x14ac:dyDescent="0.2">
      <c r="A70" s="25"/>
      <c r="B70" s="135" t="s">
        <v>83</v>
      </c>
      <c r="C70" s="64">
        <f t="shared" si="26"/>
        <v>3</v>
      </c>
      <c r="D70" s="64">
        <f t="shared" si="29"/>
        <v>35000</v>
      </c>
      <c r="E70" s="64">
        <f t="shared" si="27"/>
        <v>0</v>
      </c>
      <c r="F70" s="64">
        <f t="shared" si="28"/>
        <v>0</v>
      </c>
      <c r="G70" s="54"/>
      <c r="H70" s="119"/>
      <c r="I70" s="54"/>
      <c r="J70" s="54"/>
      <c r="K70" s="54"/>
      <c r="L70" s="119"/>
      <c r="M70" s="54"/>
      <c r="N70" s="54"/>
      <c r="O70" s="54"/>
      <c r="P70" s="119"/>
      <c r="Q70" s="54"/>
      <c r="R70" s="54"/>
      <c r="S70" s="54"/>
      <c r="T70" s="119"/>
      <c r="U70" s="54"/>
      <c r="V70" s="54"/>
      <c r="W70" s="54">
        <v>1</v>
      </c>
      <c r="X70" s="119">
        <v>5000</v>
      </c>
      <c r="Y70" s="54"/>
      <c r="Z70" s="54"/>
      <c r="AA70" s="54"/>
      <c r="AB70" s="119"/>
      <c r="AC70" s="54"/>
      <c r="AD70" s="54"/>
      <c r="AE70" s="54"/>
      <c r="AF70" s="119"/>
      <c r="AG70" s="54"/>
      <c r="AH70" s="54"/>
      <c r="AI70" s="54"/>
      <c r="AJ70" s="119"/>
      <c r="AK70" s="54"/>
      <c r="AL70" s="54"/>
      <c r="AM70" s="54">
        <v>1</v>
      </c>
      <c r="AN70" s="119">
        <f>AM70*15000</f>
        <v>15000</v>
      </c>
      <c r="AO70" s="54"/>
      <c r="AP70" s="54"/>
      <c r="AQ70" s="54"/>
      <c r="AR70" s="119"/>
      <c r="AS70" s="54"/>
      <c r="AT70" s="54"/>
      <c r="AU70" s="54"/>
      <c r="AV70" s="119"/>
      <c r="AW70" s="54"/>
      <c r="AX70" s="54"/>
      <c r="AY70" s="54">
        <v>1</v>
      </c>
      <c r="AZ70" s="119">
        <f>AY70*15000</f>
        <v>15000</v>
      </c>
      <c r="BA70" s="54"/>
      <c r="BB70" s="54"/>
      <c r="BC70" s="54"/>
      <c r="BD70" s="119"/>
      <c r="BE70" s="54"/>
      <c r="BF70" s="54"/>
      <c r="BG70" s="54"/>
      <c r="BH70" s="119"/>
      <c r="BI70" s="54"/>
      <c r="BJ70" s="180"/>
    </row>
    <row r="71" spans="1:62" s="38" customFormat="1" x14ac:dyDescent="0.2">
      <c r="A71" s="25"/>
      <c r="B71" s="135" t="s">
        <v>84</v>
      </c>
      <c r="C71" s="64">
        <f t="shared" si="26"/>
        <v>0</v>
      </c>
      <c r="D71" s="64">
        <f t="shared" si="29"/>
        <v>0</v>
      </c>
      <c r="E71" s="64">
        <f t="shared" si="27"/>
        <v>0</v>
      </c>
      <c r="F71" s="64">
        <f t="shared" si="28"/>
        <v>0</v>
      </c>
      <c r="G71" s="54"/>
      <c r="H71" s="119"/>
      <c r="I71" s="54"/>
      <c r="J71" s="54"/>
      <c r="K71" s="54"/>
      <c r="L71" s="119"/>
      <c r="M71" s="54"/>
      <c r="N71" s="54"/>
      <c r="O71" s="54"/>
      <c r="P71" s="119"/>
      <c r="Q71" s="54"/>
      <c r="R71" s="54"/>
      <c r="S71" s="54"/>
      <c r="T71" s="119"/>
      <c r="U71" s="54"/>
      <c r="V71" s="54"/>
      <c r="W71" s="54"/>
      <c r="X71" s="119"/>
      <c r="Y71" s="54"/>
      <c r="Z71" s="54"/>
      <c r="AA71" s="54"/>
      <c r="AB71" s="119"/>
      <c r="AC71" s="54"/>
      <c r="AD71" s="54"/>
      <c r="AE71" s="54"/>
      <c r="AF71" s="119"/>
      <c r="AG71" s="54"/>
      <c r="AH71" s="54"/>
      <c r="AI71" s="54"/>
      <c r="AJ71" s="119"/>
      <c r="AK71" s="54"/>
      <c r="AL71" s="54"/>
      <c r="AM71" s="54"/>
      <c r="AN71" s="119"/>
      <c r="AO71" s="54"/>
      <c r="AP71" s="54"/>
      <c r="AQ71" s="54"/>
      <c r="AR71" s="119"/>
      <c r="AS71" s="54"/>
      <c r="AT71" s="54"/>
      <c r="AU71" s="54"/>
      <c r="AV71" s="119"/>
      <c r="AW71" s="54"/>
      <c r="AX71" s="54"/>
      <c r="AY71" s="54"/>
      <c r="AZ71" s="119"/>
      <c r="BA71" s="54"/>
      <c r="BB71" s="54"/>
      <c r="BC71" s="54"/>
      <c r="BD71" s="119"/>
      <c r="BE71" s="54"/>
      <c r="BF71" s="54"/>
      <c r="BG71" s="54"/>
      <c r="BH71" s="119"/>
      <c r="BI71" s="54"/>
      <c r="BJ71" s="180"/>
    </row>
    <row r="72" spans="1:62" s="38" customFormat="1" ht="13.5" thickBot="1" x14ac:dyDescent="0.25">
      <c r="A72" s="181"/>
      <c r="B72" s="199" t="s">
        <v>85</v>
      </c>
      <c r="C72" s="239">
        <f t="shared" si="26"/>
        <v>4</v>
      </c>
      <c r="D72" s="239">
        <f t="shared" si="29"/>
        <v>8000</v>
      </c>
      <c r="E72" s="239">
        <f t="shared" si="27"/>
        <v>0</v>
      </c>
      <c r="F72" s="239">
        <f t="shared" si="28"/>
        <v>0</v>
      </c>
      <c r="G72" s="200">
        <v>1</v>
      </c>
      <c r="H72" s="184">
        <f>G72*2000</f>
        <v>2000</v>
      </c>
      <c r="I72" s="200"/>
      <c r="J72" s="200"/>
      <c r="K72" s="200"/>
      <c r="L72" s="184"/>
      <c r="M72" s="200"/>
      <c r="N72" s="200"/>
      <c r="O72" s="200"/>
      <c r="P72" s="184"/>
      <c r="Q72" s="200"/>
      <c r="R72" s="200"/>
      <c r="S72" s="200"/>
      <c r="T72" s="184"/>
      <c r="U72" s="200"/>
      <c r="V72" s="200"/>
      <c r="W72" s="200"/>
      <c r="X72" s="184"/>
      <c r="Y72" s="200"/>
      <c r="Z72" s="200"/>
      <c r="AA72" s="200"/>
      <c r="AB72" s="184"/>
      <c r="AC72" s="200"/>
      <c r="AD72" s="200"/>
      <c r="AE72" s="200"/>
      <c r="AF72" s="184"/>
      <c r="AG72" s="200"/>
      <c r="AH72" s="200"/>
      <c r="AI72" s="200"/>
      <c r="AJ72" s="184"/>
      <c r="AK72" s="200"/>
      <c r="AL72" s="200"/>
      <c r="AM72" s="200"/>
      <c r="AN72" s="184"/>
      <c r="AO72" s="200"/>
      <c r="AP72" s="200"/>
      <c r="AQ72" s="200"/>
      <c r="AR72" s="184"/>
      <c r="AS72" s="200"/>
      <c r="AT72" s="200"/>
      <c r="AU72" s="200">
        <v>2</v>
      </c>
      <c r="AV72" s="184">
        <f>AU72*2000</f>
        <v>4000</v>
      </c>
      <c r="AW72" s="200"/>
      <c r="AX72" s="200"/>
      <c r="AY72" s="200"/>
      <c r="AZ72" s="184"/>
      <c r="BA72" s="200"/>
      <c r="BB72" s="200"/>
      <c r="BC72" s="200">
        <v>1</v>
      </c>
      <c r="BD72" s="184">
        <f>BC72*2000</f>
        <v>2000</v>
      </c>
      <c r="BE72" s="200"/>
      <c r="BF72" s="200"/>
      <c r="BG72" s="200"/>
      <c r="BH72" s="184"/>
      <c r="BI72" s="200"/>
      <c r="BJ72" s="186"/>
    </row>
    <row r="73" spans="1:62" ht="13.5" thickBot="1" x14ac:dyDescent="0.25">
      <c r="A73" s="278"/>
      <c r="B73" s="233" t="s">
        <v>157</v>
      </c>
      <c r="C73" s="234">
        <f t="shared" ref="C73:BJ73" si="30">SUM(C62:C72)</f>
        <v>33</v>
      </c>
      <c r="D73" s="234">
        <f t="shared" si="30"/>
        <v>717000</v>
      </c>
      <c r="E73" s="234">
        <f t="shared" si="30"/>
        <v>0</v>
      </c>
      <c r="F73" s="234">
        <f t="shared" si="30"/>
        <v>0</v>
      </c>
      <c r="G73" s="234">
        <f t="shared" si="30"/>
        <v>3</v>
      </c>
      <c r="H73" s="234">
        <f t="shared" si="30"/>
        <v>7000</v>
      </c>
      <c r="I73" s="234">
        <f t="shared" si="30"/>
        <v>0</v>
      </c>
      <c r="J73" s="234">
        <f t="shared" si="30"/>
        <v>0</v>
      </c>
      <c r="K73" s="234">
        <f t="shared" si="30"/>
        <v>3</v>
      </c>
      <c r="L73" s="234">
        <f t="shared" si="30"/>
        <v>14000</v>
      </c>
      <c r="M73" s="234">
        <f t="shared" si="30"/>
        <v>0</v>
      </c>
      <c r="N73" s="234">
        <f t="shared" si="30"/>
        <v>0</v>
      </c>
      <c r="O73" s="234">
        <f t="shared" si="30"/>
        <v>0</v>
      </c>
      <c r="P73" s="234">
        <f t="shared" si="30"/>
        <v>0</v>
      </c>
      <c r="Q73" s="234">
        <f t="shared" si="30"/>
        <v>0</v>
      </c>
      <c r="R73" s="234">
        <f t="shared" si="30"/>
        <v>0</v>
      </c>
      <c r="S73" s="234">
        <f t="shared" si="30"/>
        <v>1</v>
      </c>
      <c r="T73" s="234">
        <f t="shared" si="30"/>
        <v>130000</v>
      </c>
      <c r="U73" s="234">
        <f t="shared" si="30"/>
        <v>0</v>
      </c>
      <c r="V73" s="234">
        <f t="shared" si="30"/>
        <v>0</v>
      </c>
      <c r="W73" s="234">
        <f t="shared" si="30"/>
        <v>2</v>
      </c>
      <c r="X73" s="234">
        <f t="shared" si="30"/>
        <v>135000</v>
      </c>
      <c r="Y73" s="234">
        <f t="shared" si="30"/>
        <v>0</v>
      </c>
      <c r="Z73" s="234">
        <f t="shared" si="30"/>
        <v>0</v>
      </c>
      <c r="AA73" s="234">
        <f t="shared" si="30"/>
        <v>0</v>
      </c>
      <c r="AB73" s="234">
        <f t="shared" si="30"/>
        <v>0</v>
      </c>
      <c r="AC73" s="234">
        <f t="shared" si="30"/>
        <v>0</v>
      </c>
      <c r="AD73" s="234">
        <f t="shared" si="30"/>
        <v>0</v>
      </c>
      <c r="AE73" s="234">
        <f t="shared" si="30"/>
        <v>2</v>
      </c>
      <c r="AF73" s="234">
        <f t="shared" si="30"/>
        <v>11000</v>
      </c>
      <c r="AG73" s="234">
        <f t="shared" si="30"/>
        <v>0</v>
      </c>
      <c r="AH73" s="234">
        <f t="shared" si="30"/>
        <v>0</v>
      </c>
      <c r="AI73" s="234">
        <f t="shared" si="30"/>
        <v>3</v>
      </c>
      <c r="AJ73" s="234">
        <f t="shared" si="30"/>
        <v>146000</v>
      </c>
      <c r="AK73" s="234">
        <f t="shared" si="30"/>
        <v>0</v>
      </c>
      <c r="AL73" s="234">
        <f t="shared" si="30"/>
        <v>0</v>
      </c>
      <c r="AM73" s="234">
        <f t="shared" si="30"/>
        <v>3</v>
      </c>
      <c r="AN73" s="234">
        <f t="shared" si="30"/>
        <v>21000</v>
      </c>
      <c r="AO73" s="234">
        <f t="shared" si="30"/>
        <v>0</v>
      </c>
      <c r="AP73" s="234">
        <f t="shared" si="30"/>
        <v>0</v>
      </c>
      <c r="AQ73" s="234">
        <f t="shared" si="30"/>
        <v>0</v>
      </c>
      <c r="AR73" s="234">
        <f t="shared" si="30"/>
        <v>0</v>
      </c>
      <c r="AS73" s="234">
        <f t="shared" si="30"/>
        <v>0</v>
      </c>
      <c r="AT73" s="234">
        <f t="shared" si="30"/>
        <v>0</v>
      </c>
      <c r="AU73" s="234">
        <f t="shared" si="30"/>
        <v>3</v>
      </c>
      <c r="AV73" s="234">
        <f t="shared" si="30"/>
        <v>29000</v>
      </c>
      <c r="AW73" s="234">
        <f t="shared" si="30"/>
        <v>0</v>
      </c>
      <c r="AX73" s="234">
        <f t="shared" si="30"/>
        <v>0</v>
      </c>
      <c r="AY73" s="234">
        <f t="shared" si="30"/>
        <v>2</v>
      </c>
      <c r="AZ73" s="234">
        <f t="shared" si="30"/>
        <v>18000</v>
      </c>
      <c r="BA73" s="234">
        <f t="shared" si="30"/>
        <v>0</v>
      </c>
      <c r="BB73" s="234">
        <f t="shared" si="30"/>
        <v>0</v>
      </c>
      <c r="BC73" s="234">
        <f t="shared" si="30"/>
        <v>4</v>
      </c>
      <c r="BD73" s="234">
        <f t="shared" si="30"/>
        <v>38000</v>
      </c>
      <c r="BE73" s="234">
        <f t="shared" si="30"/>
        <v>0</v>
      </c>
      <c r="BF73" s="234">
        <f t="shared" si="30"/>
        <v>0</v>
      </c>
      <c r="BG73" s="234">
        <f t="shared" si="30"/>
        <v>7</v>
      </c>
      <c r="BH73" s="234">
        <f t="shared" si="30"/>
        <v>168000</v>
      </c>
      <c r="BI73" s="234">
        <f t="shared" si="30"/>
        <v>0</v>
      </c>
      <c r="BJ73" s="234">
        <f t="shared" si="30"/>
        <v>0</v>
      </c>
    </row>
    <row r="74" spans="1:62" x14ac:dyDescent="0.2">
      <c r="A74" s="175" t="s">
        <v>8</v>
      </c>
      <c r="B74" s="194" t="s">
        <v>86</v>
      </c>
      <c r="C74" s="177"/>
      <c r="D74" s="178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77"/>
      <c r="BH74" s="177"/>
      <c r="BI74" s="177"/>
      <c r="BJ74" s="179"/>
    </row>
    <row r="75" spans="1:62" s="38" customFormat="1" ht="15" x14ac:dyDescent="0.25">
      <c r="A75" s="25"/>
      <c r="B75" s="193" t="s">
        <v>87</v>
      </c>
      <c r="C75" s="64">
        <f t="shared" ref="C75:C76" si="31">G75+K75+O75+S75+W75+AA75+AE75+AI75+AM75+AQ75+AU75+AY75+BC75+BG75</f>
        <v>1</v>
      </c>
      <c r="D75" s="64">
        <f t="shared" ref="D75:D76" si="32">H75+L75+P75+T75+X75+AB75+AF75+AJ75+AN75+AR75+AV75+AZ75+BD75+BH75</f>
        <v>10000</v>
      </c>
      <c r="E75" s="64">
        <f t="shared" ref="E75:E76" si="33">I75+M75+Q75+U75+Y75+AC75+AG75+AK75+AO75+AS75+AW75+BA75+BE75+BI75</f>
        <v>0</v>
      </c>
      <c r="F75" s="64">
        <f t="shared" ref="F75:F76" si="34">J75+N75+R75+V75+Z75+AD75+AH75+AL75+AP75+AT75+AX75+BB75+BF75+BJ75</f>
        <v>0</v>
      </c>
      <c r="G75" s="54"/>
      <c r="H75" s="119"/>
      <c r="I75" s="54"/>
      <c r="J75" s="54"/>
      <c r="K75" s="54"/>
      <c r="L75" s="119"/>
      <c r="M75" s="54"/>
      <c r="N75" s="54"/>
      <c r="O75" s="47"/>
      <c r="P75" s="47"/>
      <c r="Q75" s="54"/>
      <c r="R75" s="54"/>
      <c r="S75" s="54"/>
      <c r="T75" s="119"/>
      <c r="U75" s="54"/>
      <c r="V75" s="54"/>
      <c r="W75" s="54"/>
      <c r="X75" s="119"/>
      <c r="Y75" s="54"/>
      <c r="Z75" s="54"/>
      <c r="AA75" s="54"/>
      <c r="AB75" s="119"/>
      <c r="AC75" s="54"/>
      <c r="AD75" s="54"/>
      <c r="AE75" s="54"/>
      <c r="AF75" s="119"/>
      <c r="AG75" s="54"/>
      <c r="AH75" s="54"/>
      <c r="AI75" s="54">
        <v>1</v>
      </c>
      <c r="AJ75" s="119">
        <v>10000</v>
      </c>
      <c r="AK75" s="54"/>
      <c r="AL75" s="54"/>
      <c r="AM75" s="54"/>
      <c r="AN75" s="119"/>
      <c r="AO75" s="54"/>
      <c r="AP75" s="54"/>
      <c r="AQ75" s="54"/>
      <c r="AR75" s="119"/>
      <c r="AS75" s="54"/>
      <c r="AT75" s="54"/>
      <c r="AU75" s="54"/>
      <c r="AV75" s="119"/>
      <c r="AW75" s="54"/>
      <c r="AX75" s="54"/>
      <c r="AY75" s="54"/>
      <c r="AZ75" s="119"/>
      <c r="BA75" s="54"/>
      <c r="BB75" s="54"/>
      <c r="BC75" s="54"/>
      <c r="BD75" s="119"/>
      <c r="BE75" s="54"/>
      <c r="BF75" s="54"/>
      <c r="BG75" s="47"/>
      <c r="BH75" s="47"/>
      <c r="BI75" s="54"/>
      <c r="BJ75" s="180"/>
    </row>
    <row r="76" spans="1:62" s="38" customFormat="1" ht="26.25" thickBot="1" x14ac:dyDescent="0.25">
      <c r="A76" s="181"/>
      <c r="B76" s="203" t="s">
        <v>88</v>
      </c>
      <c r="C76" s="239">
        <f t="shared" si="31"/>
        <v>0</v>
      </c>
      <c r="D76" s="239">
        <f t="shared" si="32"/>
        <v>0</v>
      </c>
      <c r="E76" s="239">
        <f t="shared" si="33"/>
        <v>0</v>
      </c>
      <c r="F76" s="239">
        <f t="shared" si="34"/>
        <v>0</v>
      </c>
      <c r="G76" s="200"/>
      <c r="H76" s="184"/>
      <c r="I76" s="200"/>
      <c r="J76" s="200"/>
      <c r="K76" s="200"/>
      <c r="L76" s="184"/>
      <c r="M76" s="200"/>
      <c r="N76" s="200"/>
      <c r="O76" s="200"/>
      <c r="P76" s="184"/>
      <c r="Q76" s="200"/>
      <c r="R76" s="200"/>
      <c r="S76" s="200"/>
      <c r="T76" s="184"/>
      <c r="U76" s="200"/>
      <c r="V76" s="200"/>
      <c r="W76" s="200"/>
      <c r="X76" s="184"/>
      <c r="Y76" s="200"/>
      <c r="Z76" s="200"/>
      <c r="AA76" s="200"/>
      <c r="AB76" s="184"/>
      <c r="AC76" s="200"/>
      <c r="AD76" s="200"/>
      <c r="AE76" s="200"/>
      <c r="AF76" s="184"/>
      <c r="AG76" s="200"/>
      <c r="AH76" s="200"/>
      <c r="AI76" s="200"/>
      <c r="AJ76" s="184"/>
      <c r="AK76" s="200"/>
      <c r="AL76" s="200"/>
      <c r="AM76" s="200"/>
      <c r="AN76" s="184"/>
      <c r="AO76" s="200"/>
      <c r="AP76" s="200"/>
      <c r="AQ76" s="200"/>
      <c r="AR76" s="184"/>
      <c r="AS76" s="200"/>
      <c r="AT76" s="200"/>
      <c r="AU76" s="200"/>
      <c r="AV76" s="184"/>
      <c r="AW76" s="200"/>
      <c r="AX76" s="200"/>
      <c r="AY76" s="200"/>
      <c r="AZ76" s="184"/>
      <c r="BA76" s="200"/>
      <c r="BB76" s="200"/>
      <c r="BC76" s="200"/>
      <c r="BD76" s="184"/>
      <c r="BE76" s="200"/>
      <c r="BF76" s="200"/>
      <c r="BG76" s="200"/>
      <c r="BH76" s="184"/>
      <c r="BI76" s="200"/>
      <c r="BJ76" s="186"/>
    </row>
    <row r="77" spans="1:62" ht="13.5" thickBot="1" x14ac:dyDescent="0.25">
      <c r="A77" s="278"/>
      <c r="B77" s="233" t="s">
        <v>158</v>
      </c>
      <c r="C77" s="234">
        <f t="shared" ref="C77:BJ77" si="35">SUM(C75:C76)</f>
        <v>1</v>
      </c>
      <c r="D77" s="234">
        <f t="shared" si="35"/>
        <v>10000</v>
      </c>
      <c r="E77" s="234">
        <f t="shared" si="35"/>
        <v>0</v>
      </c>
      <c r="F77" s="234">
        <f t="shared" si="35"/>
        <v>0</v>
      </c>
      <c r="G77" s="234">
        <f t="shared" si="35"/>
        <v>0</v>
      </c>
      <c r="H77" s="234">
        <f t="shared" si="35"/>
        <v>0</v>
      </c>
      <c r="I77" s="234">
        <f t="shared" si="35"/>
        <v>0</v>
      </c>
      <c r="J77" s="234">
        <f t="shared" si="35"/>
        <v>0</v>
      </c>
      <c r="K77" s="234">
        <f t="shared" si="35"/>
        <v>0</v>
      </c>
      <c r="L77" s="234">
        <f t="shared" si="35"/>
        <v>0</v>
      </c>
      <c r="M77" s="234">
        <f t="shared" si="35"/>
        <v>0</v>
      </c>
      <c r="N77" s="234">
        <f t="shared" si="35"/>
        <v>0</v>
      </c>
      <c r="O77" s="234">
        <f t="shared" si="35"/>
        <v>0</v>
      </c>
      <c r="P77" s="234">
        <f t="shared" si="35"/>
        <v>0</v>
      </c>
      <c r="Q77" s="234">
        <f t="shared" si="35"/>
        <v>0</v>
      </c>
      <c r="R77" s="234">
        <f t="shared" si="35"/>
        <v>0</v>
      </c>
      <c r="S77" s="234">
        <f t="shared" si="35"/>
        <v>0</v>
      </c>
      <c r="T77" s="234">
        <f t="shared" si="35"/>
        <v>0</v>
      </c>
      <c r="U77" s="234">
        <f t="shared" si="35"/>
        <v>0</v>
      </c>
      <c r="V77" s="234">
        <f t="shared" si="35"/>
        <v>0</v>
      </c>
      <c r="W77" s="234">
        <f t="shared" si="35"/>
        <v>0</v>
      </c>
      <c r="X77" s="234">
        <f t="shared" si="35"/>
        <v>0</v>
      </c>
      <c r="Y77" s="234">
        <f t="shared" si="35"/>
        <v>0</v>
      </c>
      <c r="Z77" s="234">
        <f t="shared" si="35"/>
        <v>0</v>
      </c>
      <c r="AA77" s="234">
        <f t="shared" si="35"/>
        <v>0</v>
      </c>
      <c r="AB77" s="234">
        <f t="shared" si="35"/>
        <v>0</v>
      </c>
      <c r="AC77" s="234">
        <f t="shared" si="35"/>
        <v>0</v>
      </c>
      <c r="AD77" s="234">
        <f t="shared" si="35"/>
        <v>0</v>
      </c>
      <c r="AE77" s="234">
        <f t="shared" si="35"/>
        <v>0</v>
      </c>
      <c r="AF77" s="234">
        <f t="shared" si="35"/>
        <v>0</v>
      </c>
      <c r="AG77" s="234">
        <f t="shared" si="35"/>
        <v>0</v>
      </c>
      <c r="AH77" s="234">
        <f t="shared" si="35"/>
        <v>0</v>
      </c>
      <c r="AI77" s="234">
        <f t="shared" si="35"/>
        <v>1</v>
      </c>
      <c r="AJ77" s="234">
        <f t="shared" si="35"/>
        <v>10000</v>
      </c>
      <c r="AK77" s="234">
        <f t="shared" si="35"/>
        <v>0</v>
      </c>
      <c r="AL77" s="234">
        <f t="shared" si="35"/>
        <v>0</v>
      </c>
      <c r="AM77" s="234">
        <f t="shared" si="35"/>
        <v>0</v>
      </c>
      <c r="AN77" s="234">
        <f t="shared" si="35"/>
        <v>0</v>
      </c>
      <c r="AO77" s="234">
        <f t="shared" si="35"/>
        <v>0</v>
      </c>
      <c r="AP77" s="234">
        <f t="shared" si="35"/>
        <v>0</v>
      </c>
      <c r="AQ77" s="234">
        <f t="shared" si="35"/>
        <v>0</v>
      </c>
      <c r="AR77" s="234">
        <f t="shared" si="35"/>
        <v>0</v>
      </c>
      <c r="AS77" s="234">
        <f t="shared" si="35"/>
        <v>0</v>
      </c>
      <c r="AT77" s="234">
        <f t="shared" si="35"/>
        <v>0</v>
      </c>
      <c r="AU77" s="234">
        <f t="shared" si="35"/>
        <v>0</v>
      </c>
      <c r="AV77" s="234">
        <f t="shared" si="35"/>
        <v>0</v>
      </c>
      <c r="AW77" s="234">
        <f t="shared" si="35"/>
        <v>0</v>
      </c>
      <c r="AX77" s="234">
        <f t="shared" si="35"/>
        <v>0</v>
      </c>
      <c r="AY77" s="234">
        <f t="shared" si="35"/>
        <v>0</v>
      </c>
      <c r="AZ77" s="234">
        <f t="shared" si="35"/>
        <v>0</v>
      </c>
      <c r="BA77" s="234">
        <f t="shared" si="35"/>
        <v>0</v>
      </c>
      <c r="BB77" s="234">
        <f t="shared" si="35"/>
        <v>0</v>
      </c>
      <c r="BC77" s="234">
        <f t="shared" si="35"/>
        <v>0</v>
      </c>
      <c r="BD77" s="234">
        <f t="shared" si="35"/>
        <v>0</v>
      </c>
      <c r="BE77" s="234">
        <f t="shared" si="35"/>
        <v>0</v>
      </c>
      <c r="BF77" s="234">
        <f t="shared" si="35"/>
        <v>0</v>
      </c>
      <c r="BG77" s="234">
        <f t="shared" si="35"/>
        <v>0</v>
      </c>
      <c r="BH77" s="234">
        <f t="shared" si="35"/>
        <v>0</v>
      </c>
      <c r="BI77" s="234">
        <f t="shared" si="35"/>
        <v>0</v>
      </c>
      <c r="BJ77" s="234">
        <f t="shared" si="35"/>
        <v>0</v>
      </c>
    </row>
    <row r="78" spans="1:62" x14ac:dyDescent="0.2">
      <c r="A78" s="175" t="s">
        <v>9</v>
      </c>
      <c r="B78" s="176" t="s">
        <v>90</v>
      </c>
      <c r="C78" s="177"/>
      <c r="D78" s="178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9"/>
    </row>
    <row r="79" spans="1:62" s="38" customFormat="1" ht="15" x14ac:dyDescent="0.25">
      <c r="A79" s="25"/>
      <c r="B79" s="205" t="s">
        <v>91</v>
      </c>
      <c r="C79" s="64">
        <f t="shared" ref="C79:F80" si="36">G79+K79+O79+S79+W79+AA79+AE79+AI79+AM79+AQ79+AU79+AY79+BC79+BG79</f>
        <v>16</v>
      </c>
      <c r="D79" s="64">
        <f t="shared" si="36"/>
        <v>8800000</v>
      </c>
      <c r="E79" s="64">
        <f t="shared" si="36"/>
        <v>0</v>
      </c>
      <c r="F79" s="64">
        <f t="shared" si="36"/>
        <v>0</v>
      </c>
      <c r="G79" s="47">
        <v>1</v>
      </c>
      <c r="H79" s="119">
        <f>G79*550000</f>
        <v>550000</v>
      </c>
      <c r="I79" s="47"/>
      <c r="J79" s="54"/>
      <c r="K79" s="47">
        <v>2</v>
      </c>
      <c r="L79" s="119">
        <f>K79*550000</f>
        <v>1100000</v>
      </c>
      <c r="M79" s="54"/>
      <c r="N79" s="54"/>
      <c r="O79" s="47">
        <v>1</v>
      </c>
      <c r="P79" s="119">
        <f>O79*550000</f>
        <v>550000</v>
      </c>
      <c r="Q79" s="54"/>
      <c r="R79" s="54"/>
      <c r="S79" s="47">
        <v>1</v>
      </c>
      <c r="T79" s="119">
        <f>S79*550000</f>
        <v>550000</v>
      </c>
      <c r="U79" s="54"/>
      <c r="V79" s="54"/>
      <c r="W79" s="47">
        <v>1</v>
      </c>
      <c r="X79" s="119">
        <f>W79*550000</f>
        <v>550000</v>
      </c>
      <c r="Y79" s="54"/>
      <c r="Z79" s="54"/>
      <c r="AA79" s="47">
        <v>1</v>
      </c>
      <c r="AB79" s="119">
        <f>AA79*550000</f>
        <v>550000</v>
      </c>
      <c r="AC79" s="54"/>
      <c r="AD79" s="54"/>
      <c r="AE79" s="47">
        <v>1</v>
      </c>
      <c r="AF79" s="119">
        <f>AE79*550000</f>
        <v>550000</v>
      </c>
      <c r="AG79" s="54"/>
      <c r="AH79" s="54"/>
      <c r="AI79" s="47">
        <v>1</v>
      </c>
      <c r="AJ79" s="119">
        <f>AI79*550000</f>
        <v>550000</v>
      </c>
      <c r="AK79" s="54"/>
      <c r="AL79" s="54"/>
      <c r="AM79" s="47">
        <v>2</v>
      </c>
      <c r="AN79" s="119">
        <f>AM79*550000</f>
        <v>1100000</v>
      </c>
      <c r="AO79" s="54"/>
      <c r="AP79" s="54"/>
      <c r="AQ79" s="54">
        <v>1</v>
      </c>
      <c r="AR79" s="119">
        <f>AQ79*550000</f>
        <v>550000</v>
      </c>
      <c r="AS79" s="54"/>
      <c r="AT79" s="54"/>
      <c r="AU79" s="47">
        <v>1</v>
      </c>
      <c r="AV79" s="119">
        <f>AU79*550000</f>
        <v>550000</v>
      </c>
      <c r="AW79" s="54"/>
      <c r="AX79" s="54"/>
      <c r="AY79" s="47">
        <v>1</v>
      </c>
      <c r="AZ79" s="119">
        <f>AY79*550000</f>
        <v>550000</v>
      </c>
      <c r="BA79" s="54"/>
      <c r="BB79" s="54"/>
      <c r="BC79" s="54">
        <v>1</v>
      </c>
      <c r="BD79" s="119">
        <f>BC79*550000</f>
        <v>550000</v>
      </c>
      <c r="BE79" s="54"/>
      <c r="BF79" s="54"/>
      <c r="BG79" s="47">
        <v>1</v>
      </c>
      <c r="BH79" s="119">
        <f>BG79*550000</f>
        <v>550000</v>
      </c>
      <c r="BI79" s="54"/>
      <c r="BJ79" s="180"/>
    </row>
    <row r="80" spans="1:62" s="38" customFormat="1" ht="15" x14ac:dyDescent="0.25">
      <c r="A80" s="25"/>
      <c r="B80" s="205" t="s">
        <v>92</v>
      </c>
      <c r="C80" s="64">
        <f t="shared" si="36"/>
        <v>14</v>
      </c>
      <c r="D80" s="64">
        <f t="shared" si="36"/>
        <v>6300000</v>
      </c>
      <c r="E80" s="64">
        <f t="shared" si="36"/>
        <v>0</v>
      </c>
      <c r="F80" s="64">
        <f t="shared" si="36"/>
        <v>0</v>
      </c>
      <c r="G80" s="47">
        <v>1</v>
      </c>
      <c r="H80" s="119">
        <f>G80*450000</f>
        <v>450000</v>
      </c>
      <c r="I80" s="47"/>
      <c r="J80" s="54"/>
      <c r="K80" s="47">
        <v>1</v>
      </c>
      <c r="L80" s="119">
        <f>K80*450000</f>
        <v>450000</v>
      </c>
      <c r="M80" s="54"/>
      <c r="N80" s="54"/>
      <c r="O80" s="54">
        <v>1</v>
      </c>
      <c r="P80" s="119">
        <f>O80*450000</f>
        <v>450000</v>
      </c>
      <c r="Q80" s="54"/>
      <c r="R80" s="54"/>
      <c r="S80" s="54">
        <v>1</v>
      </c>
      <c r="T80" s="119">
        <f>S80*450000</f>
        <v>450000</v>
      </c>
      <c r="U80" s="54"/>
      <c r="V80" s="54"/>
      <c r="W80" s="47">
        <v>1</v>
      </c>
      <c r="X80" s="119">
        <f>W80*450000</f>
        <v>450000</v>
      </c>
      <c r="Y80" s="54"/>
      <c r="Z80" s="54"/>
      <c r="AA80" s="47">
        <v>1</v>
      </c>
      <c r="AB80" s="119">
        <f>AA80*450000</f>
        <v>450000</v>
      </c>
      <c r="AC80" s="54"/>
      <c r="AD80" s="54"/>
      <c r="AE80" s="47">
        <v>1</v>
      </c>
      <c r="AF80" s="119">
        <f>AE80*450000</f>
        <v>450000</v>
      </c>
      <c r="AG80" s="54"/>
      <c r="AH80" s="54"/>
      <c r="AI80" s="47">
        <v>1</v>
      </c>
      <c r="AJ80" s="119">
        <f>AI80*450000</f>
        <v>450000</v>
      </c>
      <c r="AK80" s="54"/>
      <c r="AL80" s="54"/>
      <c r="AM80" s="47">
        <v>2</v>
      </c>
      <c r="AN80" s="119">
        <f>AM80*450000</f>
        <v>900000</v>
      </c>
      <c r="AO80" s="54"/>
      <c r="AP80" s="54"/>
      <c r="AQ80" s="54">
        <v>1</v>
      </c>
      <c r="AR80" s="119">
        <f>AQ80*450000</f>
        <v>450000</v>
      </c>
      <c r="AS80" s="54"/>
      <c r="AT80" s="54"/>
      <c r="AU80" s="47">
        <v>1</v>
      </c>
      <c r="AV80" s="119">
        <f>AU80*450000</f>
        <v>450000</v>
      </c>
      <c r="AW80" s="54"/>
      <c r="AX80" s="54"/>
      <c r="AY80" s="47">
        <v>0</v>
      </c>
      <c r="AZ80" s="119">
        <f>AY80*450000</f>
        <v>0</v>
      </c>
      <c r="BA80" s="54"/>
      <c r="BB80" s="54"/>
      <c r="BC80" s="54">
        <v>1</v>
      </c>
      <c r="BD80" s="119">
        <f>BC80*450000</f>
        <v>450000</v>
      </c>
      <c r="BE80" s="54"/>
      <c r="BF80" s="54"/>
      <c r="BG80" s="47">
        <v>1</v>
      </c>
      <c r="BH80" s="119">
        <f>BG80*450000</f>
        <v>450000</v>
      </c>
      <c r="BI80" s="54"/>
      <c r="BJ80" s="180"/>
    </row>
    <row r="81" spans="1:62" s="38" customFormat="1" ht="15" x14ac:dyDescent="0.25">
      <c r="A81" s="25"/>
      <c r="B81" s="205" t="s">
        <v>93</v>
      </c>
      <c r="C81" s="64"/>
      <c r="D81" s="64"/>
      <c r="E81" s="64"/>
      <c r="F81" s="64"/>
      <c r="G81" s="47">
        <v>2</v>
      </c>
      <c r="H81" s="119">
        <f>G81*15000</f>
        <v>30000</v>
      </c>
      <c r="I81" s="47"/>
      <c r="J81" s="54"/>
      <c r="K81" s="47">
        <v>1</v>
      </c>
      <c r="L81" s="119">
        <f>K81*15000</f>
        <v>15000</v>
      </c>
      <c r="M81" s="54"/>
      <c r="N81" s="54"/>
      <c r="O81" s="54">
        <v>1</v>
      </c>
      <c r="P81" s="119">
        <f>O81*15000</f>
        <v>15000</v>
      </c>
      <c r="Q81" s="54"/>
      <c r="R81" s="54"/>
      <c r="S81" s="54">
        <v>1</v>
      </c>
      <c r="T81" s="119">
        <f>S81*15000</f>
        <v>15000</v>
      </c>
      <c r="U81" s="54"/>
      <c r="V81" s="54"/>
      <c r="W81" s="47">
        <v>1</v>
      </c>
      <c r="X81" s="119">
        <f>W81*15000</f>
        <v>15000</v>
      </c>
      <c r="Y81" s="54"/>
      <c r="Z81" s="54"/>
      <c r="AA81" s="47">
        <v>1</v>
      </c>
      <c r="AB81" s="119">
        <f>AA81*15000</f>
        <v>15000</v>
      </c>
      <c r="AC81" s="54"/>
      <c r="AD81" s="54"/>
      <c r="AE81" s="47">
        <v>0</v>
      </c>
      <c r="AF81" s="119">
        <f>AE81*15000</f>
        <v>0</v>
      </c>
      <c r="AG81" s="54"/>
      <c r="AH81" s="54"/>
      <c r="AI81" s="47">
        <v>0</v>
      </c>
      <c r="AJ81" s="119">
        <f>AI81*15000</f>
        <v>0</v>
      </c>
      <c r="AK81" s="54"/>
      <c r="AL81" s="54"/>
      <c r="AM81" s="47">
        <v>2</v>
      </c>
      <c r="AN81" s="119">
        <f>AM81*15000</f>
        <v>30000</v>
      </c>
      <c r="AO81" s="54"/>
      <c r="AP81" s="54"/>
      <c r="AQ81" s="54">
        <v>1</v>
      </c>
      <c r="AR81" s="119">
        <f>AQ81*15000</f>
        <v>15000</v>
      </c>
      <c r="AS81" s="54"/>
      <c r="AT81" s="54"/>
      <c r="AU81" s="47">
        <v>2</v>
      </c>
      <c r="AV81" s="119">
        <f>AU81*15000</f>
        <v>30000</v>
      </c>
      <c r="AW81" s="54"/>
      <c r="AX81" s="54"/>
      <c r="AY81" s="47">
        <v>1</v>
      </c>
      <c r="AZ81" s="119">
        <f>AY81*15000</f>
        <v>15000</v>
      </c>
      <c r="BA81" s="54"/>
      <c r="BB81" s="54"/>
      <c r="BC81" s="54">
        <v>0</v>
      </c>
      <c r="BD81" s="119">
        <f>BC81*15000</f>
        <v>0</v>
      </c>
      <c r="BE81" s="54"/>
      <c r="BF81" s="54"/>
      <c r="BG81" s="47">
        <v>0</v>
      </c>
      <c r="BH81" s="119">
        <f>BG81*15000</f>
        <v>0</v>
      </c>
      <c r="BI81" s="54"/>
      <c r="BJ81" s="180"/>
    </row>
    <row r="82" spans="1:62" s="38" customFormat="1" ht="15" x14ac:dyDescent="0.25">
      <c r="A82" s="25"/>
      <c r="B82" s="205" t="s">
        <v>94</v>
      </c>
      <c r="C82" s="64">
        <f>G82+K82+O82+S82+W82+AA82+AE82+AI82+AM82+AQ82+AU82+AY82+BC82+BG82</f>
        <v>4</v>
      </c>
      <c r="D82" s="64">
        <f>H82+L82+P82+T82+X82+AB82+AF82+AJ82+AN82+AR82+AV82+AZ82+BD82+BH82</f>
        <v>520000</v>
      </c>
      <c r="E82" s="64">
        <f>I82+M82+Q82+U82+Y82+AC82+AG82+AK82+AO82+AS82+AW82+BA82+BE82+BI82</f>
        <v>0</v>
      </c>
      <c r="F82" s="64">
        <f>J82+N82+R82+V82+Z82+AD82+AH82+AL82+AP82+AT82+AX82+BB82+BF82+BJ82</f>
        <v>0</v>
      </c>
      <c r="G82" s="47">
        <v>0</v>
      </c>
      <c r="H82" s="119">
        <f>G82*130000</f>
        <v>0</v>
      </c>
      <c r="I82" s="47"/>
      <c r="J82" s="54"/>
      <c r="K82" s="47">
        <v>1</v>
      </c>
      <c r="L82" s="119">
        <f>K82*130000</f>
        <v>130000</v>
      </c>
      <c r="M82" s="54"/>
      <c r="N82" s="54"/>
      <c r="O82" s="54">
        <v>1</v>
      </c>
      <c r="P82" s="119">
        <f>O82*130000</f>
        <v>130000</v>
      </c>
      <c r="Q82" s="54"/>
      <c r="R82" s="54"/>
      <c r="S82" s="54">
        <v>0</v>
      </c>
      <c r="T82" s="119">
        <f>S82*130000</f>
        <v>0</v>
      </c>
      <c r="U82" s="54"/>
      <c r="V82" s="54"/>
      <c r="W82" s="47">
        <v>1</v>
      </c>
      <c r="X82" s="119">
        <f>W82*130000</f>
        <v>130000</v>
      </c>
      <c r="Y82" s="54"/>
      <c r="Z82" s="54"/>
      <c r="AA82" s="54">
        <v>1</v>
      </c>
      <c r="AB82" s="119">
        <f>AA82*130000</f>
        <v>130000</v>
      </c>
      <c r="AC82" s="54"/>
      <c r="AD82" s="54"/>
      <c r="AE82" s="47">
        <v>0</v>
      </c>
      <c r="AF82" s="119">
        <f>AE82*130000</f>
        <v>0</v>
      </c>
      <c r="AG82" s="54"/>
      <c r="AH82" s="54"/>
      <c r="AI82" s="47">
        <v>0</v>
      </c>
      <c r="AJ82" s="119">
        <f>AI82*130000</f>
        <v>0</v>
      </c>
      <c r="AK82" s="54"/>
      <c r="AL82" s="54"/>
      <c r="AM82" s="54">
        <v>0</v>
      </c>
      <c r="AN82" s="119">
        <f>AM82*130000</f>
        <v>0</v>
      </c>
      <c r="AO82" s="54"/>
      <c r="AP82" s="54"/>
      <c r="AQ82" s="54">
        <v>0</v>
      </c>
      <c r="AR82" s="119">
        <f>AQ82*130000</f>
        <v>0</v>
      </c>
      <c r="AS82" s="54"/>
      <c r="AT82" s="54"/>
      <c r="AU82" s="47">
        <v>0</v>
      </c>
      <c r="AV82" s="119">
        <f>AU82*130000</f>
        <v>0</v>
      </c>
      <c r="AW82" s="54"/>
      <c r="AX82" s="54"/>
      <c r="AY82" s="47">
        <v>0</v>
      </c>
      <c r="AZ82" s="119">
        <f>AY82*130000</f>
        <v>0</v>
      </c>
      <c r="BA82" s="54"/>
      <c r="BB82" s="54"/>
      <c r="BC82" s="47">
        <v>0</v>
      </c>
      <c r="BD82" s="119">
        <f>BC82*130000</f>
        <v>0</v>
      </c>
      <c r="BE82" s="54"/>
      <c r="BF82" s="54"/>
      <c r="BG82" s="54">
        <v>0</v>
      </c>
      <c r="BH82" s="119">
        <f>BG82*130000</f>
        <v>0</v>
      </c>
      <c r="BI82" s="54"/>
      <c r="BJ82" s="180"/>
    </row>
    <row r="83" spans="1:62" s="38" customFormat="1" ht="15" x14ac:dyDescent="0.25">
      <c r="A83" s="25"/>
      <c r="B83" s="48" t="s">
        <v>95</v>
      </c>
      <c r="C83" s="64">
        <f t="shared" ref="C83:C91" si="37">G83+K83+O83+S83+W83+AA83+AE83+AI83+AM83+AQ83+AU83+AY83+BC83+BG83</f>
        <v>11</v>
      </c>
      <c r="D83" s="64">
        <f t="shared" ref="D83:D91" si="38">H83+L83+P83+T83+X83+AB83+AF83+AJ83+AN83+AR83+AV83+AZ83+BD83+BH83</f>
        <v>55000</v>
      </c>
      <c r="E83" s="64">
        <f t="shared" ref="E83:E91" si="39">I83+M83+Q83+U83+Y83+AC83+AG83+AK83+AO83+AS83+AW83+BA83+BE83+BI83</f>
        <v>0</v>
      </c>
      <c r="F83" s="64">
        <f t="shared" ref="F83:F91" si="40">J83+N83+R83+V83+Z83+AD83+AH83+AL83+AP83+AT83+AX83+BB83+BF83+BJ83</f>
        <v>0</v>
      </c>
      <c r="G83" s="47">
        <v>1</v>
      </c>
      <c r="H83" s="119">
        <f>G83*5000</f>
        <v>5000</v>
      </c>
      <c r="I83" s="47"/>
      <c r="J83" s="54"/>
      <c r="K83" s="54">
        <v>1</v>
      </c>
      <c r="L83" s="119">
        <f>K83*5000</f>
        <v>5000</v>
      </c>
      <c r="M83" s="54"/>
      <c r="N83" s="54"/>
      <c r="O83" s="54">
        <v>2</v>
      </c>
      <c r="P83" s="119">
        <f>O83*5000</f>
        <v>10000</v>
      </c>
      <c r="Q83" s="54"/>
      <c r="R83" s="54"/>
      <c r="S83" s="54">
        <v>0</v>
      </c>
      <c r="T83" s="119">
        <f>S83*5000</f>
        <v>0</v>
      </c>
      <c r="U83" s="54"/>
      <c r="V83" s="54"/>
      <c r="W83" s="54">
        <v>1</v>
      </c>
      <c r="X83" s="119">
        <f>W83*5000</f>
        <v>5000</v>
      </c>
      <c r="Y83" s="54"/>
      <c r="Z83" s="54"/>
      <c r="AA83" s="47">
        <v>0</v>
      </c>
      <c r="AB83" s="119">
        <f>AA83*5000</f>
        <v>0</v>
      </c>
      <c r="AC83" s="54"/>
      <c r="AD83" s="54"/>
      <c r="AE83" s="47">
        <v>0</v>
      </c>
      <c r="AF83" s="119">
        <f>AE83*5000</f>
        <v>0</v>
      </c>
      <c r="AG83" s="54"/>
      <c r="AH83" s="54"/>
      <c r="AI83" s="47">
        <v>1</v>
      </c>
      <c r="AJ83" s="119">
        <f>AI83*5000</f>
        <v>5000</v>
      </c>
      <c r="AK83" s="54"/>
      <c r="AL83" s="54"/>
      <c r="AM83" s="47">
        <v>0</v>
      </c>
      <c r="AN83" s="119">
        <f>AM83*5000</f>
        <v>0</v>
      </c>
      <c r="AO83" s="54"/>
      <c r="AP83" s="54"/>
      <c r="AQ83" s="54">
        <v>0</v>
      </c>
      <c r="AR83" s="119">
        <f>AQ83*5000</f>
        <v>0</v>
      </c>
      <c r="AS83" s="54"/>
      <c r="AT83" s="54"/>
      <c r="AU83" s="47">
        <v>2</v>
      </c>
      <c r="AV83" s="119">
        <f>AU83*5000</f>
        <v>10000</v>
      </c>
      <c r="AW83" s="54"/>
      <c r="AX83" s="54"/>
      <c r="AY83" s="47">
        <v>2</v>
      </c>
      <c r="AZ83" s="119">
        <f>AY83*5000</f>
        <v>10000</v>
      </c>
      <c r="BA83" s="54"/>
      <c r="BB83" s="54"/>
      <c r="BC83" s="47">
        <v>1</v>
      </c>
      <c r="BD83" s="119">
        <f>BC83*5000</f>
        <v>5000</v>
      </c>
      <c r="BE83" s="54"/>
      <c r="BF83" s="54"/>
      <c r="BG83" s="47">
        <v>0</v>
      </c>
      <c r="BH83" s="119">
        <f>BG83*5000</f>
        <v>0</v>
      </c>
      <c r="BI83" s="54"/>
      <c r="BJ83" s="180"/>
    </row>
    <row r="84" spans="1:62" s="141" customFormat="1" ht="15" customHeight="1" x14ac:dyDescent="0.25">
      <c r="A84" s="25"/>
      <c r="B84" s="205" t="s">
        <v>96</v>
      </c>
      <c r="C84" s="64">
        <f t="shared" ref="C84:F89" si="41">G84+K84+O84+S84+W84+AA84+AE84+AI84+AM84+AQ84+AU84+AY84+BC84+BG84</f>
        <v>11</v>
      </c>
      <c r="D84" s="64">
        <f t="shared" si="41"/>
        <v>55000</v>
      </c>
      <c r="E84" s="64">
        <f t="shared" si="41"/>
        <v>0</v>
      </c>
      <c r="F84" s="64">
        <f t="shared" si="41"/>
        <v>0</v>
      </c>
      <c r="G84" s="47">
        <v>2</v>
      </c>
      <c r="H84" s="119">
        <f>G84*5000</f>
        <v>10000</v>
      </c>
      <c r="I84" s="47"/>
      <c r="J84" s="54"/>
      <c r="K84" s="47">
        <v>1</v>
      </c>
      <c r="L84" s="119">
        <f>K84*5000</f>
        <v>5000</v>
      </c>
      <c r="M84" s="54"/>
      <c r="N84" s="54"/>
      <c r="O84" s="54">
        <v>1</v>
      </c>
      <c r="P84" s="119">
        <f>O84*5000</f>
        <v>5000</v>
      </c>
      <c r="Q84" s="54"/>
      <c r="R84" s="54"/>
      <c r="S84" s="47">
        <v>0</v>
      </c>
      <c r="T84" s="119">
        <f>S84*5000</f>
        <v>0</v>
      </c>
      <c r="U84" s="54"/>
      <c r="V84" s="54"/>
      <c r="W84" s="54">
        <v>0</v>
      </c>
      <c r="X84" s="119">
        <f>W84*5000</f>
        <v>0</v>
      </c>
      <c r="Y84" s="54"/>
      <c r="Z84" s="54"/>
      <c r="AA84" s="47">
        <v>0</v>
      </c>
      <c r="AB84" s="119">
        <f>AA84*5000</f>
        <v>0</v>
      </c>
      <c r="AC84" s="54"/>
      <c r="AD84" s="54"/>
      <c r="AE84" s="47">
        <v>0</v>
      </c>
      <c r="AF84" s="119">
        <f>AE84*5000</f>
        <v>0</v>
      </c>
      <c r="AG84" s="54"/>
      <c r="AH84" s="54"/>
      <c r="AI84" s="47">
        <v>1</v>
      </c>
      <c r="AJ84" s="119">
        <f>AI84*5000</f>
        <v>5000</v>
      </c>
      <c r="AK84" s="54"/>
      <c r="AL84" s="54"/>
      <c r="AM84" s="47">
        <v>4</v>
      </c>
      <c r="AN84" s="119">
        <f>AM84*5000</f>
        <v>20000</v>
      </c>
      <c r="AO84" s="54"/>
      <c r="AP84" s="54"/>
      <c r="AQ84" s="54">
        <v>0</v>
      </c>
      <c r="AR84" s="119">
        <f>AQ84*5000</f>
        <v>0</v>
      </c>
      <c r="AS84" s="54"/>
      <c r="AT84" s="54"/>
      <c r="AU84" s="47">
        <v>2</v>
      </c>
      <c r="AV84" s="119">
        <f>AU84*5000</f>
        <v>10000</v>
      </c>
      <c r="AW84" s="54"/>
      <c r="AX84" s="54"/>
      <c r="AY84" s="47">
        <v>0</v>
      </c>
      <c r="AZ84" s="119">
        <f>AY84*5000</f>
        <v>0</v>
      </c>
      <c r="BA84" s="54"/>
      <c r="BB84" s="54"/>
      <c r="BC84" s="47">
        <v>0</v>
      </c>
      <c r="BD84" s="119">
        <f>BC84*5000</f>
        <v>0</v>
      </c>
      <c r="BE84" s="54"/>
      <c r="BF84" s="54"/>
      <c r="BG84" s="47">
        <v>0</v>
      </c>
      <c r="BH84" s="119">
        <f>BG84*5000</f>
        <v>0</v>
      </c>
      <c r="BI84" s="54"/>
      <c r="BJ84" s="180"/>
    </row>
    <row r="85" spans="1:62" s="141" customFormat="1" ht="15" customHeight="1" x14ac:dyDescent="0.25">
      <c r="A85" s="25"/>
      <c r="B85" s="205" t="s">
        <v>97</v>
      </c>
      <c r="C85" s="64">
        <f t="shared" si="41"/>
        <v>25</v>
      </c>
      <c r="D85" s="64">
        <f t="shared" si="41"/>
        <v>175000</v>
      </c>
      <c r="E85" s="64">
        <f t="shared" si="41"/>
        <v>0</v>
      </c>
      <c r="F85" s="64">
        <f t="shared" si="41"/>
        <v>0</v>
      </c>
      <c r="G85" s="47">
        <v>2</v>
      </c>
      <c r="H85" s="119">
        <f>G85*7000</f>
        <v>14000</v>
      </c>
      <c r="I85" s="47"/>
      <c r="J85" s="54"/>
      <c r="K85" s="47">
        <v>2</v>
      </c>
      <c r="L85" s="119">
        <f>K85*7000</f>
        <v>14000</v>
      </c>
      <c r="M85" s="54"/>
      <c r="N85" s="54"/>
      <c r="O85" s="47">
        <v>2</v>
      </c>
      <c r="P85" s="119">
        <f>O85*7000</f>
        <v>14000</v>
      </c>
      <c r="Q85" s="54"/>
      <c r="R85" s="54"/>
      <c r="S85" s="47">
        <v>2</v>
      </c>
      <c r="T85" s="119">
        <f>S85*7000</f>
        <v>14000</v>
      </c>
      <c r="U85" s="54"/>
      <c r="V85" s="54"/>
      <c r="W85" s="47">
        <v>1</v>
      </c>
      <c r="X85" s="119">
        <f>W85*7000</f>
        <v>7000</v>
      </c>
      <c r="Y85" s="54"/>
      <c r="Z85" s="54"/>
      <c r="AA85" s="47">
        <v>2</v>
      </c>
      <c r="AB85" s="119">
        <f>AA85*7000</f>
        <v>14000</v>
      </c>
      <c r="AC85" s="54"/>
      <c r="AD85" s="54"/>
      <c r="AE85" s="47">
        <v>2</v>
      </c>
      <c r="AF85" s="119">
        <f>AE85*7000</f>
        <v>14000</v>
      </c>
      <c r="AG85" s="54"/>
      <c r="AH85" s="54"/>
      <c r="AI85" s="47">
        <v>0</v>
      </c>
      <c r="AJ85" s="119">
        <f>AI85*7000</f>
        <v>0</v>
      </c>
      <c r="AK85" s="54"/>
      <c r="AL85" s="54"/>
      <c r="AM85" s="47">
        <v>3</v>
      </c>
      <c r="AN85" s="119">
        <f>AM85*7000</f>
        <v>21000</v>
      </c>
      <c r="AO85" s="54"/>
      <c r="AP85" s="54"/>
      <c r="AQ85" s="47">
        <v>2</v>
      </c>
      <c r="AR85" s="119">
        <f>AQ85*7000</f>
        <v>14000</v>
      </c>
      <c r="AS85" s="54"/>
      <c r="AT85" s="54"/>
      <c r="AU85" s="47">
        <v>1</v>
      </c>
      <c r="AV85" s="119">
        <f>AU85*7000</f>
        <v>7000</v>
      </c>
      <c r="AW85" s="54"/>
      <c r="AX85" s="54"/>
      <c r="AY85" s="47">
        <v>2</v>
      </c>
      <c r="AZ85" s="119">
        <f>AY85*7000</f>
        <v>14000</v>
      </c>
      <c r="BA85" s="54"/>
      <c r="BB85" s="54"/>
      <c r="BC85" s="47">
        <v>2</v>
      </c>
      <c r="BD85" s="119">
        <f>BC85*7000</f>
        <v>14000</v>
      </c>
      <c r="BE85" s="54"/>
      <c r="BF85" s="54"/>
      <c r="BG85" s="47">
        <v>2</v>
      </c>
      <c r="BH85" s="119">
        <f>BG85*7000</f>
        <v>14000</v>
      </c>
      <c r="BI85" s="54"/>
      <c r="BJ85" s="180"/>
    </row>
    <row r="86" spans="1:62" s="141" customFormat="1" ht="15" customHeight="1" x14ac:dyDescent="0.25">
      <c r="A86" s="25"/>
      <c r="B86" s="205" t="s">
        <v>98</v>
      </c>
      <c r="C86" s="64">
        <f t="shared" si="41"/>
        <v>47</v>
      </c>
      <c r="D86" s="64">
        <f t="shared" si="41"/>
        <v>376000</v>
      </c>
      <c r="E86" s="64">
        <f t="shared" si="41"/>
        <v>0</v>
      </c>
      <c r="F86" s="64">
        <f t="shared" si="41"/>
        <v>0</v>
      </c>
      <c r="G86" s="47">
        <v>5</v>
      </c>
      <c r="H86" s="119">
        <f>G86*8000</f>
        <v>40000</v>
      </c>
      <c r="I86" s="47"/>
      <c r="J86" s="54"/>
      <c r="K86" s="47">
        <v>2</v>
      </c>
      <c r="L86" s="119">
        <f>K86*8000</f>
        <v>16000</v>
      </c>
      <c r="M86" s="54"/>
      <c r="N86" s="54"/>
      <c r="O86" s="47">
        <v>4</v>
      </c>
      <c r="P86" s="119">
        <f>O86*8000</f>
        <v>32000</v>
      </c>
      <c r="Q86" s="54"/>
      <c r="R86" s="54"/>
      <c r="S86" s="47">
        <v>3</v>
      </c>
      <c r="T86" s="119">
        <f>S86*8000</f>
        <v>24000</v>
      </c>
      <c r="U86" s="54"/>
      <c r="V86" s="54"/>
      <c r="W86" s="47">
        <v>0</v>
      </c>
      <c r="X86" s="119">
        <f>W86*8000</f>
        <v>0</v>
      </c>
      <c r="Y86" s="54"/>
      <c r="Z86" s="54"/>
      <c r="AA86" s="47">
        <v>0</v>
      </c>
      <c r="AB86" s="119">
        <f>AA86*8000</f>
        <v>0</v>
      </c>
      <c r="AC86" s="54"/>
      <c r="AD86" s="54"/>
      <c r="AE86" s="47">
        <v>2</v>
      </c>
      <c r="AF86" s="119">
        <f>AE86*8000</f>
        <v>16000</v>
      </c>
      <c r="AG86" s="54"/>
      <c r="AH86" s="54"/>
      <c r="AI86" s="47">
        <v>2</v>
      </c>
      <c r="AJ86" s="119">
        <f>AI86*8000</f>
        <v>16000</v>
      </c>
      <c r="AK86" s="54"/>
      <c r="AL86" s="54"/>
      <c r="AM86" s="47">
        <v>10</v>
      </c>
      <c r="AN86" s="119">
        <f>AM86*8000</f>
        <v>80000</v>
      </c>
      <c r="AO86" s="54"/>
      <c r="AP86" s="54"/>
      <c r="AQ86" s="47">
        <v>6</v>
      </c>
      <c r="AR86" s="119">
        <f>AQ86*8000</f>
        <v>48000</v>
      </c>
      <c r="AS86" s="54"/>
      <c r="AT86" s="54"/>
      <c r="AU86" s="47">
        <v>6</v>
      </c>
      <c r="AV86" s="119">
        <f>AU86*8000</f>
        <v>48000</v>
      </c>
      <c r="AW86" s="54"/>
      <c r="AX86" s="54"/>
      <c r="AY86" s="47">
        <v>3</v>
      </c>
      <c r="AZ86" s="119">
        <f>AY86*8000</f>
        <v>24000</v>
      </c>
      <c r="BA86" s="54"/>
      <c r="BB86" s="54"/>
      <c r="BC86" s="47">
        <v>2</v>
      </c>
      <c r="BD86" s="119">
        <f>BC86*8000</f>
        <v>16000</v>
      </c>
      <c r="BE86" s="54"/>
      <c r="BF86" s="54"/>
      <c r="BG86" s="47">
        <v>2</v>
      </c>
      <c r="BH86" s="119">
        <f>BG86*8000</f>
        <v>16000</v>
      </c>
      <c r="BI86" s="54"/>
      <c r="BJ86" s="180"/>
    </row>
    <row r="87" spans="1:62" s="38" customFormat="1" ht="15" x14ac:dyDescent="0.25">
      <c r="A87" s="25"/>
      <c r="B87" s="205" t="s">
        <v>99</v>
      </c>
      <c r="C87" s="64">
        <f t="shared" si="41"/>
        <v>23</v>
      </c>
      <c r="D87" s="64">
        <f t="shared" si="41"/>
        <v>184000</v>
      </c>
      <c r="E87" s="64">
        <f t="shared" si="41"/>
        <v>0</v>
      </c>
      <c r="F87" s="64">
        <f t="shared" si="41"/>
        <v>0</v>
      </c>
      <c r="G87" s="47">
        <v>5</v>
      </c>
      <c r="H87" s="119">
        <f>G87*8000</f>
        <v>40000</v>
      </c>
      <c r="I87" s="47"/>
      <c r="J87" s="54"/>
      <c r="K87" s="47">
        <v>1</v>
      </c>
      <c r="L87" s="119">
        <f>K87*8000</f>
        <v>8000</v>
      </c>
      <c r="M87" s="54"/>
      <c r="N87" s="54"/>
      <c r="O87" s="47">
        <v>2</v>
      </c>
      <c r="P87" s="119">
        <f>O87*8000</f>
        <v>16000</v>
      </c>
      <c r="Q87" s="54"/>
      <c r="R87" s="54"/>
      <c r="S87" s="47">
        <v>2</v>
      </c>
      <c r="T87" s="119">
        <f>S87*8000</f>
        <v>16000</v>
      </c>
      <c r="U87" s="54"/>
      <c r="V87" s="54"/>
      <c r="W87" s="47">
        <v>0</v>
      </c>
      <c r="X87" s="119">
        <f>W87*8000</f>
        <v>0</v>
      </c>
      <c r="Y87" s="54"/>
      <c r="Z87" s="54"/>
      <c r="AA87" s="47">
        <v>0</v>
      </c>
      <c r="AB87" s="119">
        <f>AA87*8000</f>
        <v>0</v>
      </c>
      <c r="AC87" s="54"/>
      <c r="AD87" s="54"/>
      <c r="AE87" s="54">
        <v>0</v>
      </c>
      <c r="AF87" s="119">
        <f>AE87*8000</f>
        <v>0</v>
      </c>
      <c r="AG87" s="54"/>
      <c r="AH87" s="54"/>
      <c r="AI87" s="47">
        <v>0</v>
      </c>
      <c r="AJ87" s="119">
        <f>AI87*8000</f>
        <v>0</v>
      </c>
      <c r="AK87" s="54"/>
      <c r="AL87" s="54"/>
      <c r="AM87" s="47">
        <v>2</v>
      </c>
      <c r="AN87" s="119">
        <f>AM87*8000</f>
        <v>16000</v>
      </c>
      <c r="AO87" s="54"/>
      <c r="AP87" s="54"/>
      <c r="AQ87" s="47">
        <v>6</v>
      </c>
      <c r="AR87" s="119">
        <f>AQ87*8000</f>
        <v>48000</v>
      </c>
      <c r="AS87" s="54"/>
      <c r="AT87" s="54"/>
      <c r="AU87" s="47">
        <v>0</v>
      </c>
      <c r="AV87" s="119">
        <f>AU87*8000</f>
        <v>0</v>
      </c>
      <c r="AW87" s="54"/>
      <c r="AX87" s="54"/>
      <c r="AY87" s="47">
        <v>3</v>
      </c>
      <c r="AZ87" s="119">
        <f>AY87*8000</f>
        <v>24000</v>
      </c>
      <c r="BA87" s="54"/>
      <c r="BB87" s="54"/>
      <c r="BC87" s="47">
        <v>2</v>
      </c>
      <c r="BD87" s="119">
        <f>BC87*8000</f>
        <v>16000</v>
      </c>
      <c r="BE87" s="54"/>
      <c r="BF87" s="54"/>
      <c r="BG87" s="47">
        <v>0</v>
      </c>
      <c r="BH87" s="119">
        <f>BG87*8000</f>
        <v>0</v>
      </c>
      <c r="BI87" s="54"/>
      <c r="BJ87" s="180"/>
    </row>
    <row r="88" spans="1:62" s="141" customFormat="1" ht="15" customHeight="1" x14ac:dyDescent="0.25">
      <c r="A88" s="25"/>
      <c r="B88" s="205" t="s">
        <v>100</v>
      </c>
      <c r="C88" s="64">
        <f t="shared" si="41"/>
        <v>7</v>
      </c>
      <c r="D88" s="64">
        <f t="shared" si="41"/>
        <v>175000</v>
      </c>
      <c r="E88" s="64">
        <f t="shared" si="41"/>
        <v>0</v>
      </c>
      <c r="F88" s="64">
        <f t="shared" si="41"/>
        <v>0</v>
      </c>
      <c r="G88" s="47">
        <v>1</v>
      </c>
      <c r="H88" s="119">
        <f>G88*25000</f>
        <v>25000</v>
      </c>
      <c r="I88" s="47"/>
      <c r="J88" s="54"/>
      <c r="K88" s="47">
        <v>0</v>
      </c>
      <c r="L88" s="119">
        <f>K88*25000</f>
        <v>0</v>
      </c>
      <c r="M88" s="54"/>
      <c r="N88" s="54"/>
      <c r="O88" s="47">
        <v>1</v>
      </c>
      <c r="P88" s="119">
        <f>O88*25000</f>
        <v>25000</v>
      </c>
      <c r="Q88" s="54"/>
      <c r="R88" s="54"/>
      <c r="S88" s="47">
        <v>0</v>
      </c>
      <c r="T88" s="119">
        <f>S88*25000</f>
        <v>0</v>
      </c>
      <c r="U88" s="54"/>
      <c r="V88" s="54"/>
      <c r="W88" s="54">
        <v>1</v>
      </c>
      <c r="X88" s="119">
        <f>W88*25000</f>
        <v>25000</v>
      </c>
      <c r="Y88" s="54"/>
      <c r="Z88" s="54"/>
      <c r="AA88" s="47">
        <v>0</v>
      </c>
      <c r="AB88" s="119">
        <f>AA88*25000</f>
        <v>0</v>
      </c>
      <c r="AC88" s="54"/>
      <c r="AD88" s="54"/>
      <c r="AE88" s="47">
        <v>0</v>
      </c>
      <c r="AF88" s="119">
        <f>AE88*25000</f>
        <v>0</v>
      </c>
      <c r="AG88" s="54"/>
      <c r="AH88" s="54"/>
      <c r="AI88" s="47">
        <v>0</v>
      </c>
      <c r="AJ88" s="119">
        <f>AI88*25000</f>
        <v>0</v>
      </c>
      <c r="AK88" s="54"/>
      <c r="AL88" s="54"/>
      <c r="AM88" s="47">
        <v>0</v>
      </c>
      <c r="AN88" s="119">
        <f>AM88*25000</f>
        <v>0</v>
      </c>
      <c r="AO88" s="54"/>
      <c r="AP88" s="54"/>
      <c r="AQ88" s="54">
        <v>0</v>
      </c>
      <c r="AR88" s="119">
        <f>AQ88*25000</f>
        <v>0</v>
      </c>
      <c r="AS88" s="54"/>
      <c r="AT88" s="54"/>
      <c r="AU88" s="47">
        <v>3</v>
      </c>
      <c r="AV88" s="119">
        <f>AU88*25000</f>
        <v>75000</v>
      </c>
      <c r="AW88" s="54"/>
      <c r="AX88" s="54"/>
      <c r="AY88" s="47">
        <v>1</v>
      </c>
      <c r="AZ88" s="119">
        <f>AY88*25000</f>
        <v>25000</v>
      </c>
      <c r="BA88" s="54"/>
      <c r="BB88" s="54"/>
      <c r="BC88" s="47">
        <v>0</v>
      </c>
      <c r="BD88" s="119">
        <f>BC88*25000</f>
        <v>0</v>
      </c>
      <c r="BE88" s="54"/>
      <c r="BF88" s="54"/>
      <c r="BG88" s="47">
        <v>0</v>
      </c>
      <c r="BH88" s="119">
        <f>BG88*25000</f>
        <v>0</v>
      </c>
      <c r="BI88" s="54"/>
      <c r="BJ88" s="180"/>
    </row>
    <row r="89" spans="1:62" s="141" customFormat="1" ht="15" customHeight="1" x14ac:dyDescent="0.25">
      <c r="A89" s="25"/>
      <c r="B89" s="205" t="s">
        <v>101</v>
      </c>
      <c r="C89" s="64">
        <f t="shared" si="41"/>
        <v>55</v>
      </c>
      <c r="D89" s="64">
        <f t="shared" si="41"/>
        <v>82500</v>
      </c>
      <c r="E89" s="64">
        <f t="shared" si="41"/>
        <v>0</v>
      </c>
      <c r="F89" s="64">
        <f t="shared" si="41"/>
        <v>0</v>
      </c>
      <c r="G89" s="119">
        <v>8</v>
      </c>
      <c r="H89" s="119">
        <f>G89*1500</f>
        <v>12000</v>
      </c>
      <c r="I89" s="54"/>
      <c r="J89" s="54"/>
      <c r="K89" s="54">
        <v>6</v>
      </c>
      <c r="L89" s="119">
        <f>K89*1500</f>
        <v>9000</v>
      </c>
      <c r="M89" s="54"/>
      <c r="N89" s="54"/>
      <c r="O89" s="54">
        <v>5</v>
      </c>
      <c r="P89" s="119">
        <f>O89*1500</f>
        <v>7500</v>
      </c>
      <c r="Q89" s="54"/>
      <c r="R89" s="54"/>
      <c r="S89" s="54">
        <v>5</v>
      </c>
      <c r="T89" s="119">
        <f>S89*1500</f>
        <v>7500</v>
      </c>
      <c r="U89" s="54"/>
      <c r="V89" s="54"/>
      <c r="W89" s="54">
        <v>5</v>
      </c>
      <c r="X89" s="119">
        <f>W89*1500</f>
        <v>7500</v>
      </c>
      <c r="Y89" s="54"/>
      <c r="Z89" s="54"/>
      <c r="AA89" s="47">
        <v>4</v>
      </c>
      <c r="AB89" s="119">
        <f>AA89*1500</f>
        <v>6000</v>
      </c>
      <c r="AC89" s="54"/>
      <c r="AD89" s="54"/>
      <c r="AE89" s="54">
        <v>2</v>
      </c>
      <c r="AF89" s="119">
        <f>AE89*1500</f>
        <v>3000</v>
      </c>
      <c r="AG89" s="54"/>
      <c r="AH89" s="54"/>
      <c r="AI89" s="54">
        <v>1</v>
      </c>
      <c r="AJ89" s="119">
        <f>AI89*1500</f>
        <v>1500</v>
      </c>
      <c r="AK89" s="54"/>
      <c r="AL89" s="54"/>
      <c r="AM89" s="54">
        <v>0</v>
      </c>
      <c r="AN89" s="119">
        <f>AM89*1500</f>
        <v>0</v>
      </c>
      <c r="AO89" s="54"/>
      <c r="AP89" s="54"/>
      <c r="AQ89" s="54">
        <v>6</v>
      </c>
      <c r="AR89" s="119">
        <f>AQ89*1500</f>
        <v>9000</v>
      </c>
      <c r="AS89" s="54"/>
      <c r="AT89" s="54"/>
      <c r="AU89" s="54">
        <v>6</v>
      </c>
      <c r="AV89" s="119">
        <f>AU89*1500</f>
        <v>9000</v>
      </c>
      <c r="AW89" s="54"/>
      <c r="AX89" s="54"/>
      <c r="AY89" s="54">
        <v>3</v>
      </c>
      <c r="AZ89" s="119">
        <f>AY89*1500</f>
        <v>4500</v>
      </c>
      <c r="BA89" s="54"/>
      <c r="BB89" s="54"/>
      <c r="BC89" s="54">
        <v>2</v>
      </c>
      <c r="BD89" s="119">
        <f>BC89*1500</f>
        <v>3000</v>
      </c>
      <c r="BE89" s="54"/>
      <c r="BF89" s="54"/>
      <c r="BG89" s="54">
        <v>2</v>
      </c>
      <c r="BH89" s="119">
        <f>BG89*1500</f>
        <v>3000</v>
      </c>
      <c r="BI89" s="54"/>
      <c r="BJ89" s="180"/>
    </row>
    <row r="90" spans="1:62" s="38" customFormat="1" ht="15" x14ac:dyDescent="0.25">
      <c r="A90" s="25"/>
      <c r="B90" s="205" t="s">
        <v>102</v>
      </c>
      <c r="C90" s="64">
        <f t="shared" si="37"/>
        <v>141</v>
      </c>
      <c r="D90" s="64">
        <f t="shared" si="38"/>
        <v>4935000</v>
      </c>
      <c r="E90" s="64">
        <f t="shared" si="39"/>
        <v>0</v>
      </c>
      <c r="F90" s="64">
        <f t="shared" si="40"/>
        <v>0</v>
      </c>
      <c r="G90" s="47">
        <v>18</v>
      </c>
      <c r="H90" s="119">
        <f>G90*35000</f>
        <v>630000</v>
      </c>
      <c r="I90" s="47"/>
      <c r="J90" s="54"/>
      <c r="K90" s="47">
        <v>13</v>
      </c>
      <c r="L90" s="119">
        <f>K90*35000</f>
        <v>455000</v>
      </c>
      <c r="M90" s="54"/>
      <c r="N90" s="54"/>
      <c r="O90" s="47">
        <v>7</v>
      </c>
      <c r="P90" s="119">
        <f>O90*35000</f>
        <v>245000</v>
      </c>
      <c r="Q90" s="54"/>
      <c r="R90" s="54"/>
      <c r="S90" s="47">
        <v>8</v>
      </c>
      <c r="T90" s="119">
        <f>S90*35000</f>
        <v>280000</v>
      </c>
      <c r="U90" s="54"/>
      <c r="V90" s="54"/>
      <c r="W90" s="47">
        <v>7</v>
      </c>
      <c r="X90" s="119">
        <f>W90*35000</f>
        <v>245000</v>
      </c>
      <c r="Y90" s="54"/>
      <c r="Z90" s="54"/>
      <c r="AA90" s="47">
        <v>7</v>
      </c>
      <c r="AB90" s="119">
        <f>AA90*35000</f>
        <v>245000</v>
      </c>
      <c r="AC90" s="54"/>
      <c r="AD90" s="54"/>
      <c r="AE90" s="47">
        <v>11</v>
      </c>
      <c r="AF90" s="119">
        <f>AE90*35000</f>
        <v>385000</v>
      </c>
      <c r="AG90" s="54"/>
      <c r="AH90" s="54"/>
      <c r="AI90" s="47">
        <v>7</v>
      </c>
      <c r="AJ90" s="119">
        <f>AI90*35000</f>
        <v>245000</v>
      </c>
      <c r="AK90" s="54"/>
      <c r="AL90" s="54"/>
      <c r="AM90" s="47">
        <v>7</v>
      </c>
      <c r="AN90" s="119">
        <f>AM90*35000</f>
        <v>245000</v>
      </c>
      <c r="AO90" s="54"/>
      <c r="AP90" s="54"/>
      <c r="AQ90" s="47">
        <v>10</v>
      </c>
      <c r="AR90" s="119">
        <f>AQ90*35000</f>
        <v>350000</v>
      </c>
      <c r="AS90" s="54"/>
      <c r="AT90" s="54"/>
      <c r="AU90" s="47">
        <v>11</v>
      </c>
      <c r="AV90" s="119">
        <f>AU90*35000</f>
        <v>385000</v>
      </c>
      <c r="AW90" s="54"/>
      <c r="AX90" s="54"/>
      <c r="AY90" s="47">
        <v>11</v>
      </c>
      <c r="AZ90" s="119">
        <f>AY90*35000</f>
        <v>385000</v>
      </c>
      <c r="BA90" s="54"/>
      <c r="BB90" s="54"/>
      <c r="BC90" s="47">
        <v>6</v>
      </c>
      <c r="BD90" s="119">
        <f>BC90*35000</f>
        <v>210000</v>
      </c>
      <c r="BE90" s="54"/>
      <c r="BF90" s="54"/>
      <c r="BG90" s="47">
        <v>18</v>
      </c>
      <c r="BH90" s="119">
        <f>BG90*35000</f>
        <v>630000</v>
      </c>
      <c r="BI90" s="54"/>
      <c r="BJ90" s="180"/>
    </row>
    <row r="91" spans="1:62" s="141" customFormat="1" ht="15" customHeight="1" thickBot="1" x14ac:dyDescent="0.3">
      <c r="A91" s="181"/>
      <c r="B91" s="182" t="s">
        <v>103</v>
      </c>
      <c r="C91" s="239">
        <f t="shared" si="37"/>
        <v>0</v>
      </c>
      <c r="D91" s="239">
        <f t="shared" si="38"/>
        <v>0</v>
      </c>
      <c r="E91" s="239">
        <f t="shared" si="39"/>
        <v>0</v>
      </c>
      <c r="F91" s="239">
        <f t="shared" si="40"/>
        <v>0</v>
      </c>
      <c r="G91" s="200"/>
      <c r="H91" s="184"/>
      <c r="I91" s="200"/>
      <c r="J91" s="200"/>
      <c r="K91" s="200"/>
      <c r="L91" s="184"/>
      <c r="M91" s="200"/>
      <c r="N91" s="200"/>
      <c r="O91" s="200"/>
      <c r="P91" s="184"/>
      <c r="Q91" s="200"/>
      <c r="R91" s="200"/>
      <c r="S91" s="200"/>
      <c r="T91" s="184"/>
      <c r="U91" s="200"/>
      <c r="V91" s="200"/>
      <c r="W91" s="183"/>
      <c r="X91" s="184"/>
      <c r="Y91" s="200"/>
      <c r="Z91" s="200"/>
      <c r="AA91" s="200"/>
      <c r="AB91" s="184"/>
      <c r="AC91" s="200"/>
      <c r="AD91" s="200"/>
      <c r="AE91" s="200"/>
      <c r="AF91" s="184"/>
      <c r="AG91" s="200"/>
      <c r="AH91" s="200"/>
      <c r="AI91" s="200"/>
      <c r="AJ91" s="184"/>
      <c r="AK91" s="200"/>
      <c r="AL91" s="200"/>
      <c r="AM91" s="200"/>
      <c r="AN91" s="184"/>
      <c r="AO91" s="200"/>
      <c r="AP91" s="200"/>
      <c r="AQ91" s="200"/>
      <c r="AR91" s="184"/>
      <c r="AS91" s="200"/>
      <c r="AT91" s="200"/>
      <c r="AU91" s="200"/>
      <c r="AV91" s="184"/>
      <c r="AW91" s="200"/>
      <c r="AX91" s="200"/>
      <c r="AY91" s="200"/>
      <c r="AZ91" s="184"/>
      <c r="BA91" s="200"/>
      <c r="BB91" s="200"/>
      <c r="BC91" s="200"/>
      <c r="BD91" s="184"/>
      <c r="BE91" s="200"/>
      <c r="BF91" s="200"/>
      <c r="BG91" s="200"/>
      <c r="BH91" s="184"/>
      <c r="BI91" s="200"/>
      <c r="BJ91" s="186"/>
    </row>
    <row r="92" spans="1:62" ht="13.5" thickBot="1" x14ac:dyDescent="0.25">
      <c r="A92" s="278"/>
      <c r="B92" s="233" t="s">
        <v>159</v>
      </c>
      <c r="C92" s="234">
        <f t="shared" ref="C92:AH92" si="42">SUM(C79:C91)</f>
        <v>354</v>
      </c>
      <c r="D92" s="234">
        <f t="shared" si="42"/>
        <v>21657500</v>
      </c>
      <c r="E92" s="234">
        <f t="shared" si="42"/>
        <v>0</v>
      </c>
      <c r="F92" s="234">
        <f t="shared" si="42"/>
        <v>0</v>
      </c>
      <c r="G92" s="234">
        <f t="shared" si="42"/>
        <v>46</v>
      </c>
      <c r="H92" s="234">
        <f t="shared" si="42"/>
        <v>1806000</v>
      </c>
      <c r="I92" s="234">
        <f t="shared" si="42"/>
        <v>0</v>
      </c>
      <c r="J92" s="234">
        <f t="shared" si="42"/>
        <v>0</v>
      </c>
      <c r="K92" s="234">
        <f t="shared" si="42"/>
        <v>31</v>
      </c>
      <c r="L92" s="234">
        <f t="shared" si="42"/>
        <v>2207000</v>
      </c>
      <c r="M92" s="234">
        <f t="shared" si="42"/>
        <v>0</v>
      </c>
      <c r="N92" s="234">
        <f t="shared" si="42"/>
        <v>0</v>
      </c>
      <c r="O92" s="234">
        <f t="shared" si="42"/>
        <v>28</v>
      </c>
      <c r="P92" s="234">
        <f t="shared" si="42"/>
        <v>1499500</v>
      </c>
      <c r="Q92" s="234">
        <f t="shared" si="42"/>
        <v>0</v>
      </c>
      <c r="R92" s="234">
        <f t="shared" si="42"/>
        <v>0</v>
      </c>
      <c r="S92" s="234">
        <f t="shared" si="42"/>
        <v>23</v>
      </c>
      <c r="T92" s="234">
        <f t="shared" si="42"/>
        <v>1356500</v>
      </c>
      <c r="U92" s="234">
        <f t="shared" si="42"/>
        <v>0</v>
      </c>
      <c r="V92" s="234">
        <f t="shared" si="42"/>
        <v>0</v>
      </c>
      <c r="W92" s="234">
        <f t="shared" si="42"/>
        <v>19</v>
      </c>
      <c r="X92" s="234">
        <f t="shared" si="42"/>
        <v>1434500</v>
      </c>
      <c r="Y92" s="234">
        <f t="shared" si="42"/>
        <v>0</v>
      </c>
      <c r="Z92" s="234">
        <f t="shared" si="42"/>
        <v>0</v>
      </c>
      <c r="AA92" s="234">
        <f t="shared" si="42"/>
        <v>17</v>
      </c>
      <c r="AB92" s="234">
        <f t="shared" si="42"/>
        <v>1410000</v>
      </c>
      <c r="AC92" s="234">
        <f t="shared" si="42"/>
        <v>0</v>
      </c>
      <c r="AD92" s="234">
        <f t="shared" si="42"/>
        <v>0</v>
      </c>
      <c r="AE92" s="234">
        <f t="shared" si="42"/>
        <v>19</v>
      </c>
      <c r="AF92" s="234">
        <f t="shared" si="42"/>
        <v>1418000</v>
      </c>
      <c r="AG92" s="234">
        <f t="shared" si="42"/>
        <v>0</v>
      </c>
      <c r="AH92" s="234">
        <f t="shared" si="42"/>
        <v>0</v>
      </c>
      <c r="AI92" s="234">
        <f t="shared" ref="AI92:BJ92" si="43">SUM(AI79:AI91)</f>
        <v>14</v>
      </c>
      <c r="AJ92" s="234">
        <f t="shared" si="43"/>
        <v>1272500</v>
      </c>
      <c r="AK92" s="234">
        <f t="shared" si="43"/>
        <v>0</v>
      </c>
      <c r="AL92" s="234">
        <f t="shared" si="43"/>
        <v>0</v>
      </c>
      <c r="AM92" s="234">
        <f t="shared" si="43"/>
        <v>32</v>
      </c>
      <c r="AN92" s="234">
        <f t="shared" si="43"/>
        <v>2412000</v>
      </c>
      <c r="AO92" s="234">
        <f t="shared" si="43"/>
        <v>0</v>
      </c>
      <c r="AP92" s="234">
        <f t="shared" si="43"/>
        <v>0</v>
      </c>
      <c r="AQ92" s="234">
        <f t="shared" si="43"/>
        <v>33</v>
      </c>
      <c r="AR92" s="234">
        <f t="shared" si="43"/>
        <v>1484000</v>
      </c>
      <c r="AS92" s="234">
        <f t="shared" si="43"/>
        <v>0</v>
      </c>
      <c r="AT92" s="234">
        <f t="shared" si="43"/>
        <v>0</v>
      </c>
      <c r="AU92" s="234">
        <f t="shared" si="43"/>
        <v>35</v>
      </c>
      <c r="AV92" s="234">
        <f t="shared" si="43"/>
        <v>1574000</v>
      </c>
      <c r="AW92" s="234">
        <f t="shared" si="43"/>
        <v>0</v>
      </c>
      <c r="AX92" s="234">
        <f t="shared" si="43"/>
        <v>0</v>
      </c>
      <c r="AY92" s="234">
        <f t="shared" si="43"/>
        <v>27</v>
      </c>
      <c r="AZ92" s="234">
        <f t="shared" si="43"/>
        <v>1051500</v>
      </c>
      <c r="BA92" s="234">
        <f t="shared" si="43"/>
        <v>0</v>
      </c>
      <c r="BB92" s="234">
        <f t="shared" si="43"/>
        <v>0</v>
      </c>
      <c r="BC92" s="234">
        <f t="shared" si="43"/>
        <v>17</v>
      </c>
      <c r="BD92" s="234">
        <f t="shared" si="43"/>
        <v>1264000</v>
      </c>
      <c r="BE92" s="234">
        <f t="shared" si="43"/>
        <v>0</v>
      </c>
      <c r="BF92" s="234">
        <f t="shared" si="43"/>
        <v>0</v>
      </c>
      <c r="BG92" s="234">
        <f t="shared" si="43"/>
        <v>26</v>
      </c>
      <c r="BH92" s="234">
        <f t="shared" si="43"/>
        <v>1663000</v>
      </c>
      <c r="BI92" s="234">
        <f t="shared" si="43"/>
        <v>0</v>
      </c>
      <c r="BJ92" s="234">
        <f t="shared" si="43"/>
        <v>0</v>
      </c>
    </row>
    <row r="93" spans="1:62" x14ac:dyDescent="0.2">
      <c r="A93" s="210" t="s">
        <v>10</v>
      </c>
      <c r="B93" s="211" t="s">
        <v>104</v>
      </c>
      <c r="C93" s="177"/>
      <c r="D93" s="178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>
        <v>2</v>
      </c>
      <c r="AK93" s="177"/>
      <c r="AL93" s="177"/>
      <c r="AM93" s="177"/>
      <c r="AN93" s="177"/>
      <c r="AO93" s="177"/>
      <c r="AP93" s="177"/>
      <c r="AQ93" s="177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7"/>
      <c r="BF93" s="177"/>
      <c r="BG93" s="177"/>
      <c r="BH93" s="177"/>
      <c r="BI93" s="177"/>
      <c r="BJ93" s="179"/>
    </row>
    <row r="94" spans="1:62" s="141" customFormat="1" ht="15" x14ac:dyDescent="0.25">
      <c r="A94" s="143"/>
      <c r="B94" s="205" t="s">
        <v>105</v>
      </c>
      <c r="C94" s="64">
        <f t="shared" ref="C94:C132" si="44">G94+K94+O94+S94+W94+AA94+AE94+AI94+AM94+AQ94+AU94+AY94+BC94+BG94</f>
        <v>0</v>
      </c>
      <c r="D94" s="64">
        <f t="shared" ref="D94:D132" si="45">H94+L94+P94+T94+X94+AB94+AF94+AJ94+AN94+AR94+AV94+AZ94+BD94+BH94</f>
        <v>0</v>
      </c>
      <c r="E94" s="64">
        <f t="shared" ref="E94:E132" si="46">I94+M94+Q94+U94+Y94+AC94+AG94+AK94+AO94+AS94+AW94+BA94+BE94+BI94</f>
        <v>0</v>
      </c>
      <c r="F94" s="64">
        <f t="shared" ref="F94:F132" si="47">J94+N94+R94+V94+Z94+AD94+AH94+AL94+AP94+AT94+AX94+BB94+BF94+BJ94</f>
        <v>0</v>
      </c>
      <c r="G94" s="47"/>
      <c r="H94" s="119"/>
      <c r="I94" s="54"/>
      <c r="J94" s="54"/>
      <c r="K94" s="47"/>
      <c r="L94" s="47"/>
      <c r="M94" s="54"/>
      <c r="N94" s="54"/>
      <c r="O94" s="47"/>
      <c r="P94" s="47"/>
      <c r="Q94" s="54"/>
      <c r="R94" s="54"/>
      <c r="S94" s="47"/>
      <c r="T94" s="119"/>
      <c r="U94" s="54"/>
      <c r="V94" s="54"/>
      <c r="W94" s="47"/>
      <c r="X94" s="119"/>
      <c r="Y94" s="54"/>
      <c r="Z94" s="54"/>
      <c r="AA94" s="47"/>
      <c r="AB94" s="47"/>
      <c r="AC94" s="54"/>
      <c r="AD94" s="54"/>
      <c r="AE94" s="47"/>
      <c r="AF94" s="119"/>
      <c r="AG94" s="54"/>
      <c r="AH94" s="54"/>
      <c r="AI94" s="47"/>
      <c r="AJ94" s="119"/>
      <c r="AK94" s="54"/>
      <c r="AL94" s="54"/>
      <c r="AM94" s="47"/>
      <c r="AN94" s="119"/>
      <c r="AO94" s="54"/>
      <c r="AP94" s="54"/>
      <c r="AQ94" s="47"/>
      <c r="AR94" s="119"/>
      <c r="AS94" s="54"/>
      <c r="AT94" s="54"/>
      <c r="AU94" s="47"/>
      <c r="AV94" s="119"/>
      <c r="AW94" s="54"/>
      <c r="AX94" s="54"/>
      <c r="AY94" s="47"/>
      <c r="AZ94" s="119"/>
      <c r="BA94" s="54"/>
      <c r="BB94" s="54"/>
      <c r="BC94" s="47"/>
      <c r="BD94" s="119"/>
      <c r="BE94" s="54"/>
      <c r="BF94" s="54"/>
      <c r="BG94" s="47"/>
      <c r="BH94" s="47"/>
      <c r="BI94" s="54"/>
      <c r="BJ94" s="180"/>
    </row>
    <row r="95" spans="1:62" s="38" customFormat="1" ht="15" x14ac:dyDescent="0.25">
      <c r="A95" s="25"/>
      <c r="B95" s="48" t="s">
        <v>106</v>
      </c>
      <c r="C95" s="64">
        <f t="shared" ref="C95:C104" si="48">G95+K95+O95+S95+W95+AA95+AE95+AI95+AM95+AQ95+AU95+AY95+BC95+BG95</f>
        <v>0</v>
      </c>
      <c r="D95" s="64">
        <f t="shared" si="45"/>
        <v>0</v>
      </c>
      <c r="E95" s="64">
        <f t="shared" si="46"/>
        <v>0</v>
      </c>
      <c r="F95" s="64">
        <f t="shared" si="47"/>
        <v>0</v>
      </c>
      <c r="G95" s="54"/>
      <c r="H95" s="119"/>
      <c r="I95" s="54"/>
      <c r="J95" s="54"/>
      <c r="K95" s="54"/>
      <c r="L95" s="119"/>
      <c r="M95" s="54"/>
      <c r="N95" s="54"/>
      <c r="O95" s="54"/>
      <c r="P95" s="119"/>
      <c r="Q95" s="54"/>
      <c r="R95" s="54"/>
      <c r="S95" s="54"/>
      <c r="T95" s="119"/>
      <c r="U95" s="54"/>
      <c r="V95" s="54"/>
      <c r="W95" s="54"/>
      <c r="X95" s="119"/>
      <c r="Y95" s="54"/>
      <c r="Z95" s="54"/>
      <c r="AA95" s="54"/>
      <c r="AB95" s="119"/>
      <c r="AC95" s="54"/>
      <c r="AD95" s="54"/>
      <c r="AE95" s="47"/>
      <c r="AF95" s="119"/>
      <c r="AG95" s="54"/>
      <c r="AH95" s="54"/>
      <c r="AI95" s="54"/>
      <c r="AJ95" s="119"/>
      <c r="AK95" s="54"/>
      <c r="AL95" s="54"/>
      <c r="AM95" s="54"/>
      <c r="AN95" s="119"/>
      <c r="AO95" s="54"/>
      <c r="AP95" s="54"/>
      <c r="AQ95" s="54"/>
      <c r="AR95" s="119"/>
      <c r="AS95" s="54"/>
      <c r="AT95" s="54"/>
      <c r="AU95" s="47"/>
      <c r="AV95" s="119"/>
      <c r="AW95" s="54"/>
      <c r="AX95" s="54"/>
      <c r="AY95" s="54"/>
      <c r="AZ95" s="119"/>
      <c r="BA95" s="54"/>
      <c r="BB95" s="54"/>
      <c r="BC95" s="47"/>
      <c r="BD95" s="119"/>
      <c r="BE95" s="54"/>
      <c r="BF95" s="54"/>
      <c r="BG95" s="54"/>
      <c r="BH95" s="119"/>
      <c r="BI95" s="54"/>
      <c r="BJ95" s="180"/>
    </row>
    <row r="96" spans="1:62" s="38" customFormat="1" x14ac:dyDescent="0.2">
      <c r="A96" s="25"/>
      <c r="B96" s="48" t="s">
        <v>107</v>
      </c>
      <c r="C96" s="64">
        <f t="shared" si="48"/>
        <v>0</v>
      </c>
      <c r="D96" s="64">
        <f t="shared" si="45"/>
        <v>0</v>
      </c>
      <c r="E96" s="64">
        <f t="shared" si="46"/>
        <v>0</v>
      </c>
      <c r="F96" s="64">
        <f t="shared" si="47"/>
        <v>0</v>
      </c>
      <c r="G96" s="54"/>
      <c r="H96" s="119"/>
      <c r="I96" s="54"/>
      <c r="J96" s="54"/>
      <c r="K96" s="54"/>
      <c r="L96" s="119"/>
      <c r="M96" s="54"/>
      <c r="N96" s="54"/>
      <c r="O96" s="54"/>
      <c r="P96" s="119"/>
      <c r="Q96" s="54"/>
      <c r="R96" s="54"/>
      <c r="S96" s="54"/>
      <c r="T96" s="119"/>
      <c r="U96" s="54"/>
      <c r="V96" s="54"/>
      <c r="W96" s="54"/>
      <c r="X96" s="119"/>
      <c r="Y96" s="54"/>
      <c r="Z96" s="54"/>
      <c r="AA96" s="54"/>
      <c r="AB96" s="119"/>
      <c r="AC96" s="54"/>
      <c r="AD96" s="54"/>
      <c r="AE96" s="54"/>
      <c r="AF96" s="119"/>
      <c r="AG96" s="54"/>
      <c r="AH96" s="54"/>
      <c r="AI96" s="54"/>
      <c r="AJ96" s="119"/>
      <c r="AK96" s="54"/>
      <c r="AL96" s="54"/>
      <c r="AM96" s="54"/>
      <c r="AN96" s="119"/>
      <c r="AO96" s="54"/>
      <c r="AP96" s="54"/>
      <c r="AQ96" s="54"/>
      <c r="AR96" s="119"/>
      <c r="AS96" s="54"/>
      <c r="AT96" s="54"/>
      <c r="AU96" s="54"/>
      <c r="AV96" s="119"/>
      <c r="AW96" s="54"/>
      <c r="AX96" s="54"/>
      <c r="AY96" s="54"/>
      <c r="AZ96" s="119"/>
      <c r="BA96" s="54"/>
      <c r="BB96" s="54"/>
      <c r="BC96" s="54"/>
      <c r="BD96" s="119"/>
      <c r="BE96" s="54"/>
      <c r="BF96" s="54"/>
      <c r="BG96" s="54"/>
      <c r="BH96" s="119"/>
      <c r="BI96" s="54"/>
      <c r="BJ96" s="180"/>
    </row>
    <row r="97" spans="1:62" s="38" customFormat="1" ht="15" x14ac:dyDescent="0.25">
      <c r="A97" s="25"/>
      <c r="B97" s="208" t="s">
        <v>109</v>
      </c>
      <c r="C97" s="64">
        <f t="shared" si="48"/>
        <v>0</v>
      </c>
      <c r="D97" s="64">
        <f t="shared" si="45"/>
        <v>0</v>
      </c>
      <c r="E97" s="64">
        <f t="shared" si="46"/>
        <v>0</v>
      </c>
      <c r="F97" s="64">
        <f t="shared" si="47"/>
        <v>0</v>
      </c>
      <c r="G97" s="47"/>
      <c r="H97" s="119"/>
      <c r="I97" s="54"/>
      <c r="J97" s="54"/>
      <c r="K97" s="47"/>
      <c r="L97" s="119"/>
      <c r="M97" s="54"/>
      <c r="N97" s="54"/>
      <c r="O97" s="47"/>
      <c r="P97" s="119"/>
      <c r="Q97" s="54"/>
      <c r="R97" s="54"/>
      <c r="S97" s="47"/>
      <c r="T97" s="119"/>
      <c r="U97" s="54"/>
      <c r="V97" s="54"/>
      <c r="W97" s="47"/>
      <c r="X97" s="119"/>
      <c r="Y97" s="54"/>
      <c r="Z97" s="54"/>
      <c r="AA97" s="47"/>
      <c r="AB97" s="47"/>
      <c r="AC97" s="54"/>
      <c r="AD97" s="54"/>
      <c r="AE97" s="47"/>
      <c r="AF97" s="119"/>
      <c r="AG97" s="54"/>
      <c r="AH97" s="54"/>
      <c r="AI97" s="47"/>
      <c r="AJ97" s="119"/>
      <c r="AK97" s="54"/>
      <c r="AL97" s="54"/>
      <c r="AM97" s="47"/>
      <c r="AN97" s="119"/>
      <c r="AO97" s="54"/>
      <c r="AP97" s="54"/>
      <c r="AQ97" s="47"/>
      <c r="AR97" s="119"/>
      <c r="AS97" s="54"/>
      <c r="AT97" s="54"/>
      <c r="AU97" s="47"/>
      <c r="AV97" s="119"/>
      <c r="AW97" s="54"/>
      <c r="AX97" s="54"/>
      <c r="AY97" s="47"/>
      <c r="AZ97" s="119"/>
      <c r="BA97" s="54"/>
      <c r="BB97" s="54"/>
      <c r="BC97" s="47"/>
      <c r="BD97" s="119"/>
      <c r="BE97" s="54"/>
      <c r="BF97" s="54"/>
      <c r="BG97" s="47"/>
      <c r="BH97" s="47"/>
      <c r="BI97" s="54"/>
      <c r="BJ97" s="180"/>
    </row>
    <row r="98" spans="1:62" s="38" customFormat="1" ht="15" x14ac:dyDescent="0.25">
      <c r="A98" s="25"/>
      <c r="B98" s="208" t="s">
        <v>111</v>
      </c>
      <c r="C98" s="64">
        <f t="shared" si="48"/>
        <v>0</v>
      </c>
      <c r="D98" s="64">
        <f t="shared" si="45"/>
        <v>0</v>
      </c>
      <c r="E98" s="64">
        <f t="shared" si="46"/>
        <v>0</v>
      </c>
      <c r="F98" s="64">
        <f t="shared" si="47"/>
        <v>0</v>
      </c>
      <c r="G98" s="47"/>
      <c r="H98" s="119"/>
      <c r="I98" s="54"/>
      <c r="J98" s="54"/>
      <c r="K98" s="47"/>
      <c r="L98" s="119"/>
      <c r="M98" s="54"/>
      <c r="N98" s="54"/>
      <c r="O98" s="47"/>
      <c r="P98" s="119"/>
      <c r="Q98" s="54"/>
      <c r="R98" s="54"/>
      <c r="S98" s="54"/>
      <c r="T98" s="119"/>
      <c r="U98" s="54"/>
      <c r="V98" s="54"/>
      <c r="W98" s="47"/>
      <c r="X98" s="119"/>
      <c r="Y98" s="54"/>
      <c r="Z98" s="54"/>
      <c r="AA98" s="54"/>
      <c r="AB98" s="119"/>
      <c r="AC98" s="54"/>
      <c r="AD98" s="54"/>
      <c r="AE98" s="54"/>
      <c r="AF98" s="119"/>
      <c r="AG98" s="54"/>
      <c r="AH98" s="54"/>
      <c r="AI98" s="54"/>
      <c r="AJ98" s="119"/>
      <c r="AK98" s="54"/>
      <c r="AL98" s="54"/>
      <c r="AM98" s="54"/>
      <c r="AN98" s="119"/>
      <c r="AO98" s="54"/>
      <c r="AP98" s="54"/>
      <c r="AQ98" s="54"/>
      <c r="AR98" s="119"/>
      <c r="AS98" s="54"/>
      <c r="AT98" s="54"/>
      <c r="AU98" s="54"/>
      <c r="AV98" s="119"/>
      <c r="AW98" s="54"/>
      <c r="AX98" s="54"/>
      <c r="AY98" s="54"/>
      <c r="AZ98" s="119"/>
      <c r="BA98" s="54"/>
      <c r="BB98" s="54"/>
      <c r="BC98" s="54"/>
      <c r="BD98" s="119"/>
      <c r="BE98" s="54"/>
      <c r="BF98" s="54"/>
      <c r="BG98" s="54"/>
      <c r="BH98" s="119"/>
      <c r="BI98" s="54"/>
      <c r="BJ98" s="180"/>
    </row>
    <row r="99" spans="1:62" s="38" customFormat="1" ht="15" x14ac:dyDescent="0.25">
      <c r="A99" s="25"/>
      <c r="B99" s="208" t="s">
        <v>113</v>
      </c>
      <c r="C99" s="64">
        <f t="shared" si="48"/>
        <v>0</v>
      </c>
      <c r="D99" s="64">
        <f t="shared" si="45"/>
        <v>0</v>
      </c>
      <c r="E99" s="64">
        <f t="shared" si="46"/>
        <v>0</v>
      </c>
      <c r="F99" s="64">
        <f t="shared" si="47"/>
        <v>0</v>
      </c>
      <c r="G99" s="54"/>
      <c r="H99" s="119"/>
      <c r="I99" s="54"/>
      <c r="J99" s="54"/>
      <c r="K99" s="54"/>
      <c r="L99" s="119"/>
      <c r="M99" s="54"/>
      <c r="N99" s="54"/>
      <c r="O99" s="54"/>
      <c r="P99" s="119"/>
      <c r="Q99" s="54"/>
      <c r="R99" s="54"/>
      <c r="S99" s="54"/>
      <c r="T99" s="119"/>
      <c r="U99" s="54"/>
      <c r="V99" s="54"/>
      <c r="W99" s="54"/>
      <c r="X99" s="119"/>
      <c r="Y99" s="54"/>
      <c r="Z99" s="54"/>
      <c r="AA99" s="54"/>
      <c r="AB99" s="119"/>
      <c r="AC99" s="54"/>
      <c r="AD99" s="54"/>
      <c r="AE99" s="47"/>
      <c r="AF99" s="119"/>
      <c r="AG99" s="54"/>
      <c r="AH99" s="54"/>
      <c r="AI99" s="54"/>
      <c r="AJ99" s="119"/>
      <c r="AK99" s="54"/>
      <c r="AL99" s="54"/>
      <c r="AM99" s="54"/>
      <c r="AN99" s="119"/>
      <c r="AO99" s="54"/>
      <c r="AP99" s="54"/>
      <c r="AQ99" s="54"/>
      <c r="AR99" s="119"/>
      <c r="AS99" s="54"/>
      <c r="AT99" s="54"/>
      <c r="AU99" s="47"/>
      <c r="AV99" s="119"/>
      <c r="AW99" s="54"/>
      <c r="AX99" s="54"/>
      <c r="AY99" s="54"/>
      <c r="AZ99" s="119"/>
      <c r="BA99" s="54"/>
      <c r="BB99" s="54"/>
      <c r="BC99" s="54"/>
      <c r="BD99" s="119"/>
      <c r="BE99" s="54"/>
      <c r="BF99" s="54"/>
      <c r="BG99" s="54"/>
      <c r="BH99" s="119"/>
      <c r="BI99" s="54"/>
      <c r="BJ99" s="180"/>
    </row>
    <row r="100" spans="1:62" s="38" customFormat="1" ht="15" x14ac:dyDescent="0.25">
      <c r="A100" s="25"/>
      <c r="B100" s="208" t="s">
        <v>115</v>
      </c>
      <c r="C100" s="64">
        <f t="shared" si="48"/>
        <v>0</v>
      </c>
      <c r="D100" s="64">
        <f t="shared" si="45"/>
        <v>0</v>
      </c>
      <c r="E100" s="64">
        <f t="shared" si="46"/>
        <v>0</v>
      </c>
      <c r="F100" s="64">
        <f t="shared" si="47"/>
        <v>0</v>
      </c>
      <c r="G100" s="47"/>
      <c r="H100" s="119"/>
      <c r="I100" s="54"/>
      <c r="J100" s="54"/>
      <c r="K100" s="54"/>
      <c r="L100" s="119"/>
      <c r="M100" s="54"/>
      <c r="N100" s="54"/>
      <c r="O100" s="54"/>
      <c r="P100" s="119"/>
      <c r="Q100" s="54"/>
      <c r="R100" s="54"/>
      <c r="S100" s="54"/>
      <c r="T100" s="119"/>
      <c r="U100" s="54"/>
      <c r="V100" s="54"/>
      <c r="W100" s="54"/>
      <c r="X100" s="119"/>
      <c r="Y100" s="54"/>
      <c r="Z100" s="54"/>
      <c r="AA100" s="54"/>
      <c r="AB100" s="119"/>
      <c r="AC100" s="54"/>
      <c r="AD100" s="54"/>
      <c r="AE100" s="54"/>
      <c r="AF100" s="119"/>
      <c r="AG100" s="54"/>
      <c r="AH100" s="54"/>
      <c r="AI100" s="54"/>
      <c r="AJ100" s="119"/>
      <c r="AK100" s="54"/>
      <c r="AL100" s="54"/>
      <c r="AM100" s="54"/>
      <c r="AN100" s="119"/>
      <c r="AO100" s="54"/>
      <c r="AP100" s="54"/>
      <c r="AQ100" s="54"/>
      <c r="AR100" s="119"/>
      <c r="AS100" s="54"/>
      <c r="AT100" s="54"/>
      <c r="AU100" s="54"/>
      <c r="AV100" s="119"/>
      <c r="AW100" s="54"/>
      <c r="AX100" s="54"/>
      <c r="AY100" s="54"/>
      <c r="AZ100" s="119"/>
      <c r="BA100" s="54"/>
      <c r="BB100" s="54"/>
      <c r="BC100" s="54"/>
      <c r="BD100" s="119"/>
      <c r="BE100" s="54"/>
      <c r="BF100" s="54"/>
      <c r="BG100" s="47"/>
      <c r="BH100" s="47"/>
      <c r="BI100" s="54"/>
      <c r="BJ100" s="180"/>
    </row>
    <row r="101" spans="1:62" s="38" customFormat="1" ht="15" x14ac:dyDescent="0.25">
      <c r="A101" s="25"/>
      <c r="B101" s="208" t="s">
        <v>279</v>
      </c>
      <c r="C101" s="64"/>
      <c r="D101" s="64"/>
      <c r="E101" s="64"/>
      <c r="F101" s="64"/>
      <c r="G101" s="47"/>
      <c r="H101" s="119"/>
      <c r="I101" s="54"/>
      <c r="J101" s="54"/>
      <c r="K101" s="54"/>
      <c r="L101" s="119"/>
      <c r="M101" s="54"/>
      <c r="N101" s="54"/>
      <c r="O101" s="54"/>
      <c r="P101" s="119"/>
      <c r="Q101" s="54"/>
      <c r="R101" s="54"/>
      <c r="S101" s="54"/>
      <c r="T101" s="119"/>
      <c r="U101" s="54"/>
      <c r="V101" s="54"/>
      <c r="W101" s="54"/>
      <c r="X101" s="119"/>
      <c r="Y101" s="54"/>
      <c r="Z101" s="54"/>
      <c r="AA101" s="54"/>
      <c r="AB101" s="119"/>
      <c r="AC101" s="54"/>
      <c r="AD101" s="54"/>
      <c r="AE101" s="54"/>
      <c r="AF101" s="119"/>
      <c r="AG101" s="54"/>
      <c r="AH101" s="54"/>
      <c r="AI101" s="54"/>
      <c r="AJ101" s="119"/>
      <c r="AK101" s="54"/>
      <c r="AL101" s="54"/>
      <c r="AM101" s="54"/>
      <c r="AN101" s="119"/>
      <c r="AO101" s="54"/>
      <c r="AP101" s="54"/>
      <c r="AQ101" s="54"/>
      <c r="AR101" s="119"/>
      <c r="AS101" s="54"/>
      <c r="AT101" s="54"/>
      <c r="AU101" s="54"/>
      <c r="AV101" s="119"/>
      <c r="AW101" s="54"/>
      <c r="AX101" s="54"/>
      <c r="AY101" s="54"/>
      <c r="AZ101" s="119"/>
      <c r="BA101" s="54"/>
      <c r="BB101" s="54"/>
      <c r="BC101" s="54"/>
      <c r="BD101" s="119"/>
      <c r="BE101" s="54"/>
      <c r="BF101" s="54"/>
      <c r="BG101" s="47"/>
      <c r="BH101" s="47"/>
      <c r="BI101" s="54"/>
      <c r="BJ101" s="180"/>
    </row>
    <row r="102" spans="1:62" s="38" customFormat="1" ht="15" x14ac:dyDescent="0.25">
      <c r="A102" s="25"/>
      <c r="B102" s="205" t="s">
        <v>116</v>
      </c>
      <c r="C102" s="64">
        <f t="shared" si="48"/>
        <v>0</v>
      </c>
      <c r="D102" s="64">
        <f t="shared" si="45"/>
        <v>0</v>
      </c>
      <c r="E102" s="64">
        <f t="shared" si="46"/>
        <v>0</v>
      </c>
      <c r="F102" s="64">
        <f t="shared" si="47"/>
        <v>0</v>
      </c>
      <c r="G102" s="47"/>
      <c r="H102" s="119"/>
      <c r="I102" s="54"/>
      <c r="J102" s="54"/>
      <c r="K102" s="54"/>
      <c r="L102" s="119"/>
      <c r="M102" s="54"/>
      <c r="N102" s="54"/>
      <c r="O102" s="54"/>
      <c r="P102" s="119"/>
      <c r="Q102" s="54"/>
      <c r="R102" s="54"/>
      <c r="S102" s="54"/>
      <c r="T102" s="119"/>
      <c r="U102" s="54"/>
      <c r="V102" s="54"/>
      <c r="W102" s="54"/>
      <c r="X102" s="119"/>
      <c r="Y102" s="54"/>
      <c r="Z102" s="54"/>
      <c r="AA102" s="54"/>
      <c r="AB102" s="119"/>
      <c r="AC102" s="54"/>
      <c r="AD102" s="54"/>
      <c r="AE102" s="54"/>
      <c r="AF102" s="119"/>
      <c r="AG102" s="54"/>
      <c r="AH102" s="54"/>
      <c r="AI102" s="54"/>
      <c r="AJ102" s="119"/>
      <c r="AK102" s="54"/>
      <c r="AL102" s="54"/>
      <c r="AM102" s="54"/>
      <c r="AN102" s="119"/>
      <c r="AO102" s="54"/>
      <c r="AP102" s="54"/>
      <c r="AQ102" s="54"/>
      <c r="AR102" s="119"/>
      <c r="AS102" s="54"/>
      <c r="AT102" s="54"/>
      <c r="AU102" s="54"/>
      <c r="AV102" s="119"/>
      <c r="AW102" s="54"/>
      <c r="AX102" s="54"/>
      <c r="AY102" s="54"/>
      <c r="AZ102" s="119"/>
      <c r="BA102" s="54"/>
      <c r="BB102" s="54"/>
      <c r="BC102" s="54"/>
      <c r="BD102" s="119"/>
      <c r="BE102" s="54"/>
      <c r="BF102" s="54"/>
      <c r="BG102" s="54"/>
      <c r="BH102" s="119"/>
      <c r="BI102" s="54"/>
      <c r="BJ102" s="180"/>
    </row>
    <row r="103" spans="1:62" s="141" customFormat="1" ht="15" x14ac:dyDescent="0.25">
      <c r="A103" s="25"/>
      <c r="B103" s="208" t="s">
        <v>117</v>
      </c>
      <c r="C103" s="64">
        <f t="shared" si="48"/>
        <v>0</v>
      </c>
      <c r="D103" s="64">
        <f t="shared" si="45"/>
        <v>0</v>
      </c>
      <c r="E103" s="64">
        <f t="shared" si="46"/>
        <v>0</v>
      </c>
      <c r="F103" s="64">
        <f t="shared" si="47"/>
        <v>0</v>
      </c>
      <c r="G103" s="47"/>
      <c r="H103" s="119"/>
      <c r="I103" s="54"/>
      <c r="J103" s="54"/>
      <c r="K103" s="47"/>
      <c r="L103" s="119"/>
      <c r="M103" s="54"/>
      <c r="N103" s="54"/>
      <c r="O103" s="47"/>
      <c r="P103" s="119"/>
      <c r="Q103" s="54"/>
      <c r="R103" s="54"/>
      <c r="S103" s="47"/>
      <c r="T103" s="119"/>
      <c r="U103" s="54"/>
      <c r="V103" s="54"/>
      <c r="W103" s="47"/>
      <c r="X103" s="119"/>
      <c r="Y103" s="54"/>
      <c r="Z103" s="54"/>
      <c r="AA103" s="54"/>
      <c r="AB103" s="119"/>
      <c r="AC103" s="54"/>
      <c r="AD103" s="54"/>
      <c r="AE103" s="47"/>
      <c r="AF103" s="119"/>
      <c r="AG103" s="54"/>
      <c r="AH103" s="54"/>
      <c r="AI103" s="47"/>
      <c r="AJ103" s="119"/>
      <c r="AK103" s="54"/>
      <c r="AL103" s="54"/>
      <c r="AM103" s="47"/>
      <c r="AN103" s="119"/>
      <c r="AO103" s="54"/>
      <c r="AP103" s="54"/>
      <c r="AQ103" s="54"/>
      <c r="AR103" s="119"/>
      <c r="AS103" s="54"/>
      <c r="AT103" s="54"/>
      <c r="AU103" s="47"/>
      <c r="AV103" s="119"/>
      <c r="AW103" s="54"/>
      <c r="AX103" s="54"/>
      <c r="AY103" s="47"/>
      <c r="AZ103" s="119"/>
      <c r="BA103" s="54"/>
      <c r="BB103" s="54"/>
      <c r="BC103" s="47"/>
      <c r="BD103" s="119"/>
      <c r="BE103" s="54"/>
      <c r="BF103" s="54"/>
      <c r="BG103" s="47"/>
      <c r="BH103" s="47"/>
      <c r="BI103" s="54"/>
      <c r="BJ103" s="180"/>
    </row>
    <row r="104" spans="1:62" s="38" customFormat="1" x14ac:dyDescent="0.2">
      <c r="A104" s="25"/>
      <c r="B104" s="48" t="s">
        <v>118</v>
      </c>
      <c r="C104" s="64">
        <f t="shared" si="48"/>
        <v>0</v>
      </c>
      <c r="D104" s="64">
        <f t="shared" si="45"/>
        <v>0</v>
      </c>
      <c r="E104" s="64">
        <f t="shared" si="46"/>
        <v>0</v>
      </c>
      <c r="F104" s="64">
        <f t="shared" si="47"/>
        <v>0</v>
      </c>
      <c r="G104" s="54"/>
      <c r="H104" s="119"/>
      <c r="I104" s="54"/>
      <c r="J104" s="54"/>
      <c r="K104" s="54"/>
      <c r="L104" s="119"/>
      <c r="M104" s="54"/>
      <c r="N104" s="54"/>
      <c r="O104" s="54"/>
      <c r="P104" s="119"/>
      <c r="Q104" s="54"/>
      <c r="R104" s="54"/>
      <c r="S104" s="54"/>
      <c r="T104" s="119"/>
      <c r="U104" s="54"/>
      <c r="V104" s="54"/>
      <c r="W104" s="54"/>
      <c r="X104" s="119"/>
      <c r="Y104" s="54"/>
      <c r="Z104" s="54"/>
      <c r="AA104" s="54"/>
      <c r="AB104" s="119"/>
      <c r="AC104" s="54"/>
      <c r="AD104" s="54"/>
      <c r="AE104" s="54"/>
      <c r="AF104" s="119"/>
      <c r="AG104" s="54"/>
      <c r="AH104" s="54"/>
      <c r="AI104" s="54"/>
      <c r="AJ104" s="119"/>
      <c r="AK104" s="54"/>
      <c r="AL104" s="54"/>
      <c r="AM104" s="54"/>
      <c r="AN104" s="119"/>
      <c r="AO104" s="54"/>
      <c r="AP104" s="54"/>
      <c r="AQ104" s="54"/>
      <c r="AR104" s="119"/>
      <c r="AS104" s="54"/>
      <c r="AT104" s="54"/>
      <c r="AU104" s="54"/>
      <c r="AV104" s="119"/>
      <c r="AW104" s="54"/>
      <c r="AX104" s="54"/>
      <c r="AY104" s="54"/>
      <c r="AZ104" s="119"/>
      <c r="BA104" s="54"/>
      <c r="BB104" s="54"/>
      <c r="BC104" s="54"/>
      <c r="BD104" s="119"/>
      <c r="BE104" s="54"/>
      <c r="BF104" s="54"/>
      <c r="BG104" s="54"/>
      <c r="BH104" s="119"/>
      <c r="BI104" s="54"/>
      <c r="BJ104" s="180"/>
    </row>
    <row r="105" spans="1:62" s="141" customFormat="1" x14ac:dyDescent="0.2">
      <c r="A105" s="143"/>
      <c r="B105" s="205" t="s">
        <v>119</v>
      </c>
      <c r="C105" s="64">
        <f t="shared" si="44"/>
        <v>0</v>
      </c>
      <c r="D105" s="64">
        <f t="shared" si="45"/>
        <v>0</v>
      </c>
      <c r="E105" s="64">
        <f t="shared" si="46"/>
        <v>0</v>
      </c>
      <c r="F105" s="64">
        <f t="shared" si="47"/>
        <v>0</v>
      </c>
      <c r="G105" s="54"/>
      <c r="H105" s="119"/>
      <c r="I105" s="54"/>
      <c r="J105" s="54"/>
      <c r="K105" s="54"/>
      <c r="L105" s="119"/>
      <c r="M105" s="54"/>
      <c r="N105" s="54"/>
      <c r="O105" s="54"/>
      <c r="P105" s="119"/>
      <c r="Q105" s="54"/>
      <c r="R105" s="54"/>
      <c r="S105" s="54"/>
      <c r="T105" s="119"/>
      <c r="U105" s="54"/>
      <c r="V105" s="54"/>
      <c r="W105" s="54"/>
      <c r="X105" s="119"/>
      <c r="Y105" s="54"/>
      <c r="Z105" s="54"/>
      <c r="AA105" s="54"/>
      <c r="AB105" s="119"/>
      <c r="AC105" s="54"/>
      <c r="AD105" s="54"/>
      <c r="AE105" s="54"/>
      <c r="AF105" s="119"/>
      <c r="AG105" s="54"/>
      <c r="AH105" s="54"/>
      <c r="AI105" s="54"/>
      <c r="AJ105" s="119"/>
      <c r="AK105" s="54"/>
      <c r="AL105" s="54"/>
      <c r="AM105" s="54"/>
      <c r="AN105" s="119"/>
      <c r="AO105" s="54"/>
      <c r="AP105" s="54"/>
      <c r="AQ105" s="54"/>
      <c r="AR105" s="119"/>
      <c r="AS105" s="54"/>
      <c r="AT105" s="54"/>
      <c r="AU105" s="54"/>
      <c r="AV105" s="119"/>
      <c r="AW105" s="54"/>
      <c r="AX105" s="54"/>
      <c r="AY105" s="54"/>
      <c r="AZ105" s="119"/>
      <c r="BA105" s="54"/>
      <c r="BB105" s="54"/>
      <c r="BC105" s="54"/>
      <c r="BD105" s="119"/>
      <c r="BE105" s="54"/>
      <c r="BF105" s="54"/>
      <c r="BG105" s="54"/>
      <c r="BH105" s="119"/>
      <c r="BI105" s="54"/>
      <c r="BJ105" s="180"/>
    </row>
    <row r="106" spans="1:62" s="141" customFormat="1" ht="15" x14ac:dyDescent="0.25">
      <c r="A106" s="143"/>
      <c r="B106" s="48" t="s">
        <v>120</v>
      </c>
      <c r="C106" s="64">
        <f t="shared" si="44"/>
        <v>0</v>
      </c>
      <c r="D106" s="64">
        <f t="shared" si="45"/>
        <v>0</v>
      </c>
      <c r="E106" s="64">
        <f t="shared" si="46"/>
        <v>0</v>
      </c>
      <c r="F106" s="64">
        <f t="shared" si="47"/>
        <v>0</v>
      </c>
      <c r="G106" s="47"/>
      <c r="H106" s="119"/>
      <c r="I106" s="54"/>
      <c r="J106" s="54"/>
      <c r="K106" s="54"/>
      <c r="L106" s="119"/>
      <c r="M106" s="54"/>
      <c r="N106" s="54"/>
      <c r="O106" s="54"/>
      <c r="P106" s="119"/>
      <c r="Q106" s="54"/>
      <c r="R106" s="54"/>
      <c r="S106" s="54"/>
      <c r="T106" s="119"/>
      <c r="U106" s="54"/>
      <c r="V106" s="54"/>
      <c r="W106" s="54"/>
      <c r="X106" s="119"/>
      <c r="Y106" s="54"/>
      <c r="Z106" s="54"/>
      <c r="AA106" s="54"/>
      <c r="AB106" s="119"/>
      <c r="AC106" s="54"/>
      <c r="AD106" s="54"/>
      <c r="AE106" s="54"/>
      <c r="AF106" s="119"/>
      <c r="AG106" s="54"/>
      <c r="AH106" s="54"/>
      <c r="AI106" s="54"/>
      <c r="AJ106" s="119"/>
      <c r="AK106" s="54"/>
      <c r="AL106" s="54"/>
      <c r="AM106" s="47"/>
      <c r="AN106" s="119"/>
      <c r="AO106" s="54"/>
      <c r="AP106" s="54"/>
      <c r="AQ106" s="54"/>
      <c r="AR106" s="119"/>
      <c r="AS106" s="54"/>
      <c r="AT106" s="54"/>
      <c r="AU106" s="54"/>
      <c r="AV106" s="119"/>
      <c r="AW106" s="54"/>
      <c r="AX106" s="54"/>
      <c r="AY106" s="47"/>
      <c r="AZ106" s="119"/>
      <c r="BA106" s="54"/>
      <c r="BB106" s="54"/>
      <c r="BC106" s="54"/>
      <c r="BD106" s="119"/>
      <c r="BE106" s="54"/>
      <c r="BF106" s="54"/>
      <c r="BG106" s="47"/>
      <c r="BH106" s="47"/>
      <c r="BI106" s="54"/>
      <c r="BJ106" s="180"/>
    </row>
    <row r="107" spans="1:62" s="38" customFormat="1" ht="25.5" x14ac:dyDescent="0.2">
      <c r="A107" s="25"/>
      <c r="B107" s="320" t="s">
        <v>122</v>
      </c>
      <c r="C107" s="64">
        <f t="shared" si="44"/>
        <v>0</v>
      </c>
      <c r="D107" s="64">
        <f t="shared" si="45"/>
        <v>0</v>
      </c>
      <c r="E107" s="64">
        <f t="shared" si="46"/>
        <v>0</v>
      </c>
      <c r="F107" s="64">
        <f t="shared" si="47"/>
        <v>0</v>
      </c>
      <c r="G107" s="54"/>
      <c r="H107" s="119"/>
      <c r="I107" s="54"/>
      <c r="J107" s="54"/>
      <c r="K107" s="54"/>
      <c r="L107" s="119"/>
      <c r="M107" s="54"/>
      <c r="N107" s="54"/>
      <c r="O107" s="54"/>
      <c r="P107" s="119"/>
      <c r="Q107" s="54"/>
      <c r="R107" s="54"/>
      <c r="S107" s="54"/>
      <c r="T107" s="119"/>
      <c r="U107" s="54"/>
      <c r="V107" s="54"/>
      <c r="W107" s="54"/>
      <c r="X107" s="119"/>
      <c r="Y107" s="54"/>
      <c r="Z107" s="54"/>
      <c r="AA107" s="54"/>
      <c r="AB107" s="119"/>
      <c r="AC107" s="54"/>
      <c r="AD107" s="54"/>
      <c r="AE107" s="54"/>
      <c r="AF107" s="119"/>
      <c r="AG107" s="54"/>
      <c r="AH107" s="54"/>
      <c r="AI107" s="54"/>
      <c r="AJ107" s="119"/>
      <c r="AK107" s="54"/>
      <c r="AL107" s="54"/>
      <c r="AM107" s="54"/>
      <c r="AN107" s="119"/>
      <c r="AO107" s="54"/>
      <c r="AP107" s="54"/>
      <c r="AQ107" s="54"/>
      <c r="AR107" s="119"/>
      <c r="AS107" s="54"/>
      <c r="AT107" s="54"/>
      <c r="AU107" s="54"/>
      <c r="AV107" s="119"/>
      <c r="AW107" s="54"/>
      <c r="AX107" s="54"/>
      <c r="AY107" s="54"/>
      <c r="AZ107" s="119"/>
      <c r="BA107" s="54"/>
      <c r="BB107" s="54"/>
      <c r="BC107" s="54"/>
      <c r="BD107" s="119"/>
      <c r="BE107" s="54"/>
      <c r="BF107" s="54"/>
      <c r="BG107" s="54"/>
      <c r="BH107" s="119"/>
      <c r="BI107" s="54"/>
      <c r="BJ107" s="180"/>
    </row>
    <row r="108" spans="1:62" s="38" customFormat="1" ht="25.5" x14ac:dyDescent="0.2">
      <c r="A108" s="25"/>
      <c r="B108" s="209" t="s">
        <v>124</v>
      </c>
      <c r="C108" s="64">
        <f t="shared" si="44"/>
        <v>0</v>
      </c>
      <c r="D108" s="64">
        <f t="shared" si="45"/>
        <v>0</v>
      </c>
      <c r="E108" s="64">
        <f t="shared" si="46"/>
        <v>0</v>
      </c>
      <c r="F108" s="64">
        <f t="shared" si="47"/>
        <v>0</v>
      </c>
      <c r="G108" s="54"/>
      <c r="H108" s="119"/>
      <c r="I108" s="54"/>
      <c r="J108" s="54"/>
      <c r="K108" s="54"/>
      <c r="L108" s="119"/>
      <c r="M108" s="54"/>
      <c r="N108" s="54"/>
      <c r="O108" s="54"/>
      <c r="P108" s="119"/>
      <c r="Q108" s="54"/>
      <c r="R108" s="54"/>
      <c r="S108" s="54"/>
      <c r="T108" s="119"/>
      <c r="U108" s="54"/>
      <c r="V108" s="54"/>
      <c r="W108" s="54"/>
      <c r="X108" s="119"/>
      <c r="Y108" s="54"/>
      <c r="Z108" s="54"/>
      <c r="AA108" s="54"/>
      <c r="AB108" s="119"/>
      <c r="AC108" s="54"/>
      <c r="AD108" s="54"/>
      <c r="AE108" s="54"/>
      <c r="AF108" s="119"/>
      <c r="AG108" s="54"/>
      <c r="AH108" s="54"/>
      <c r="AI108" s="54"/>
      <c r="AJ108" s="119"/>
      <c r="AK108" s="54"/>
      <c r="AL108" s="54"/>
      <c r="AM108" s="54"/>
      <c r="AN108" s="119"/>
      <c r="AO108" s="54"/>
      <c r="AP108" s="54"/>
      <c r="AQ108" s="54"/>
      <c r="AR108" s="119"/>
      <c r="AS108" s="54"/>
      <c r="AT108" s="54"/>
      <c r="AU108" s="54"/>
      <c r="AV108" s="119"/>
      <c r="AW108" s="54"/>
      <c r="AX108" s="54"/>
      <c r="AY108" s="54"/>
      <c r="AZ108" s="119"/>
      <c r="BA108" s="54"/>
      <c r="BB108" s="54"/>
      <c r="BC108" s="54"/>
      <c r="BD108" s="119"/>
      <c r="BE108" s="54"/>
      <c r="BF108" s="54"/>
      <c r="BG108" s="54"/>
      <c r="BH108" s="119"/>
      <c r="BI108" s="54"/>
      <c r="BJ108" s="180"/>
    </row>
    <row r="109" spans="1:62" s="38" customFormat="1" ht="25.5" x14ac:dyDescent="0.2">
      <c r="A109" s="25"/>
      <c r="B109" s="320" t="s">
        <v>126</v>
      </c>
      <c r="C109" s="64">
        <f t="shared" si="44"/>
        <v>0</v>
      </c>
      <c r="D109" s="64">
        <f t="shared" si="45"/>
        <v>0</v>
      </c>
      <c r="E109" s="64">
        <f t="shared" si="46"/>
        <v>0</v>
      </c>
      <c r="F109" s="64">
        <f t="shared" si="47"/>
        <v>0</v>
      </c>
      <c r="G109" s="54"/>
      <c r="H109" s="119"/>
      <c r="I109" s="54"/>
      <c r="J109" s="54"/>
      <c r="K109" s="54"/>
      <c r="L109" s="119"/>
      <c r="M109" s="54"/>
      <c r="N109" s="54"/>
      <c r="O109" s="54"/>
      <c r="P109" s="119"/>
      <c r="Q109" s="54"/>
      <c r="R109" s="54"/>
      <c r="S109" s="54"/>
      <c r="T109" s="119"/>
      <c r="U109" s="54"/>
      <c r="V109" s="54"/>
      <c r="W109" s="54"/>
      <c r="X109" s="119"/>
      <c r="Y109" s="54"/>
      <c r="Z109" s="54"/>
      <c r="AA109" s="54"/>
      <c r="AB109" s="119"/>
      <c r="AC109" s="54"/>
      <c r="AD109" s="54"/>
      <c r="AE109" s="54"/>
      <c r="AF109" s="119"/>
      <c r="AG109" s="54"/>
      <c r="AH109" s="54"/>
      <c r="AI109" s="54"/>
      <c r="AJ109" s="119"/>
      <c r="AK109" s="54"/>
      <c r="AL109" s="54"/>
      <c r="AM109" s="54"/>
      <c r="AN109" s="119"/>
      <c r="AO109" s="54"/>
      <c r="AP109" s="54"/>
      <c r="AQ109" s="54"/>
      <c r="AR109" s="119"/>
      <c r="AS109" s="54"/>
      <c r="AT109" s="54"/>
      <c r="AU109" s="54"/>
      <c r="AV109" s="119"/>
      <c r="AW109" s="54"/>
      <c r="AX109" s="54"/>
      <c r="AY109" s="54"/>
      <c r="AZ109" s="119"/>
      <c r="BA109" s="54"/>
      <c r="BB109" s="54"/>
      <c r="BC109" s="54"/>
      <c r="BD109" s="119"/>
      <c r="BE109" s="54"/>
      <c r="BF109" s="54"/>
      <c r="BG109" s="54"/>
      <c r="BH109" s="119"/>
      <c r="BI109" s="54"/>
      <c r="BJ109" s="180"/>
    </row>
    <row r="110" spans="1:62" s="38" customFormat="1" ht="25.5" x14ac:dyDescent="0.2">
      <c r="A110" s="25"/>
      <c r="B110" s="320" t="s">
        <v>128</v>
      </c>
      <c r="C110" s="64">
        <f>G110+K110+O110+S110+W110+AA110+AE110+AI110+AM110+AQ110+AU110+AY110+BC110+BG110</f>
        <v>0</v>
      </c>
      <c r="D110" s="64">
        <f>H110+L110+P110+T110+X110+AB110+AF110+AJ110+AN110+AR110+AV110+AZ110+BD110+BH110</f>
        <v>0</v>
      </c>
      <c r="E110" s="64">
        <f>I110+M110+Q110+U110+Y110+AC110+AG110+AK110+AO110+AS110+AW110+BA110+BE110+BI110</f>
        <v>0</v>
      </c>
      <c r="F110" s="64">
        <f>J110+N110+R110+V110+Z110+AD110+AH110+AL110+AP110+AT110+AX110+BB110+BF110+BJ110</f>
        <v>0</v>
      </c>
      <c r="G110" s="54"/>
      <c r="H110" s="119"/>
      <c r="I110" s="54"/>
      <c r="J110" s="54"/>
      <c r="K110" s="54"/>
      <c r="L110" s="119"/>
      <c r="M110" s="54"/>
      <c r="N110" s="54"/>
      <c r="O110" s="54"/>
      <c r="P110" s="119"/>
      <c r="Q110" s="54"/>
      <c r="R110" s="54"/>
      <c r="S110" s="54"/>
      <c r="T110" s="119"/>
      <c r="U110" s="54"/>
      <c r="V110" s="54"/>
      <c r="W110" s="54"/>
      <c r="X110" s="119"/>
      <c r="Y110" s="54"/>
      <c r="Z110" s="54"/>
      <c r="AA110" s="54"/>
      <c r="AB110" s="119"/>
      <c r="AC110" s="54"/>
      <c r="AD110" s="54"/>
      <c r="AE110" s="54"/>
      <c r="AF110" s="119"/>
      <c r="AG110" s="54"/>
      <c r="AH110" s="54"/>
      <c r="AI110" s="54"/>
      <c r="AJ110" s="119"/>
      <c r="AK110" s="54"/>
      <c r="AL110" s="54"/>
      <c r="AM110" s="54"/>
      <c r="AN110" s="119"/>
      <c r="AO110" s="54"/>
      <c r="AP110" s="54"/>
      <c r="AQ110" s="54"/>
      <c r="AR110" s="119"/>
      <c r="AS110" s="54"/>
      <c r="AT110" s="54"/>
      <c r="AU110" s="54"/>
      <c r="AV110" s="119"/>
      <c r="AW110" s="54"/>
      <c r="AX110" s="54"/>
      <c r="AY110" s="54"/>
      <c r="AZ110" s="119"/>
      <c r="BA110" s="54"/>
      <c r="BB110" s="54"/>
      <c r="BC110" s="54"/>
      <c r="BD110" s="119"/>
      <c r="BE110" s="54"/>
      <c r="BF110" s="54"/>
      <c r="BG110" s="54"/>
      <c r="BH110" s="119"/>
      <c r="BI110" s="54"/>
      <c r="BJ110" s="180"/>
    </row>
    <row r="111" spans="1:62" s="38" customFormat="1" x14ac:dyDescent="0.2">
      <c r="A111" s="25"/>
      <c r="B111" s="320" t="s">
        <v>130</v>
      </c>
      <c r="C111" s="64">
        <f t="shared" si="44"/>
        <v>0</v>
      </c>
      <c r="D111" s="64">
        <f t="shared" si="45"/>
        <v>0</v>
      </c>
      <c r="E111" s="64">
        <f t="shared" si="46"/>
        <v>0</v>
      </c>
      <c r="F111" s="64">
        <f t="shared" si="47"/>
        <v>0</v>
      </c>
      <c r="G111" s="54"/>
      <c r="H111" s="119"/>
      <c r="I111" s="54"/>
      <c r="J111" s="54"/>
      <c r="K111" s="54"/>
      <c r="L111" s="119"/>
      <c r="M111" s="54"/>
      <c r="N111" s="54"/>
      <c r="O111" s="54"/>
      <c r="P111" s="119"/>
      <c r="Q111" s="54"/>
      <c r="R111" s="54"/>
      <c r="S111" s="54"/>
      <c r="T111" s="119"/>
      <c r="U111" s="54"/>
      <c r="V111" s="54"/>
      <c r="W111" s="54"/>
      <c r="X111" s="119"/>
      <c r="Y111" s="54"/>
      <c r="Z111" s="54"/>
      <c r="AA111" s="54"/>
      <c r="AB111" s="119"/>
      <c r="AC111" s="54"/>
      <c r="AD111" s="54"/>
      <c r="AE111" s="54"/>
      <c r="AF111" s="119"/>
      <c r="AG111" s="54"/>
      <c r="AH111" s="54"/>
      <c r="AI111" s="54"/>
      <c r="AJ111" s="119"/>
      <c r="AK111" s="54"/>
      <c r="AL111" s="54"/>
      <c r="AM111" s="54"/>
      <c r="AN111" s="119"/>
      <c r="AO111" s="54"/>
      <c r="AP111" s="54"/>
      <c r="AQ111" s="54"/>
      <c r="AR111" s="119"/>
      <c r="AS111" s="54"/>
      <c r="AT111" s="54"/>
      <c r="AU111" s="54"/>
      <c r="AV111" s="119"/>
      <c r="AW111" s="54"/>
      <c r="AX111" s="54"/>
      <c r="AY111" s="54"/>
      <c r="AZ111" s="119"/>
      <c r="BA111" s="54"/>
      <c r="BB111" s="54"/>
      <c r="BC111" s="54"/>
      <c r="BD111" s="119"/>
      <c r="BE111" s="54"/>
      <c r="BF111" s="54"/>
      <c r="BG111" s="54"/>
      <c r="BH111" s="119"/>
      <c r="BI111" s="54"/>
      <c r="BJ111" s="180"/>
    </row>
    <row r="112" spans="1:62" s="38" customFormat="1" x14ac:dyDescent="0.2">
      <c r="A112" s="25"/>
      <c r="B112" s="320" t="s">
        <v>280</v>
      </c>
      <c r="C112" s="64">
        <f t="shared" ref="C112:F114" si="49">G112+K112+O112+S112+W112+AA112+AE112+AI112+AM112+AQ112+AU112+AY112+BC112+BG112</f>
        <v>0</v>
      </c>
      <c r="D112" s="64">
        <f t="shared" si="49"/>
        <v>0</v>
      </c>
      <c r="E112" s="64">
        <f t="shared" si="49"/>
        <v>0</v>
      </c>
      <c r="F112" s="64">
        <f t="shared" si="49"/>
        <v>0</v>
      </c>
      <c r="G112" s="54"/>
      <c r="H112" s="119"/>
      <c r="I112" s="54"/>
      <c r="J112" s="54"/>
      <c r="K112" s="54"/>
      <c r="L112" s="119"/>
      <c r="M112" s="54"/>
      <c r="N112" s="54"/>
      <c r="O112" s="54"/>
      <c r="P112" s="119"/>
      <c r="Q112" s="54"/>
      <c r="R112" s="54"/>
      <c r="S112" s="54"/>
      <c r="T112" s="119"/>
      <c r="U112" s="54"/>
      <c r="V112" s="54"/>
      <c r="W112" s="54"/>
      <c r="X112" s="119"/>
      <c r="Y112" s="54"/>
      <c r="Z112" s="54"/>
      <c r="AA112" s="54"/>
      <c r="AB112" s="119"/>
      <c r="AC112" s="54"/>
      <c r="AD112" s="54"/>
      <c r="AE112" s="54"/>
      <c r="AF112" s="119"/>
      <c r="AG112" s="54"/>
      <c r="AH112" s="54"/>
      <c r="AI112" s="54"/>
      <c r="AJ112" s="119"/>
      <c r="AK112" s="54"/>
      <c r="AL112" s="54"/>
      <c r="AM112" s="54"/>
      <c r="AN112" s="119"/>
      <c r="AO112" s="54"/>
      <c r="AP112" s="54"/>
      <c r="AQ112" s="54"/>
      <c r="AR112" s="119"/>
      <c r="AS112" s="54"/>
      <c r="AT112" s="54"/>
      <c r="AU112" s="54"/>
      <c r="AV112" s="119"/>
      <c r="AW112" s="54"/>
      <c r="AX112" s="54"/>
      <c r="AY112" s="54"/>
      <c r="AZ112" s="119"/>
      <c r="BA112" s="54"/>
      <c r="BB112" s="54"/>
      <c r="BC112" s="54"/>
      <c r="BD112" s="119"/>
      <c r="BE112" s="54"/>
      <c r="BF112" s="54"/>
      <c r="BG112" s="54"/>
      <c r="BH112" s="119"/>
      <c r="BI112" s="54"/>
      <c r="BJ112" s="180"/>
    </row>
    <row r="113" spans="1:62" s="38" customFormat="1" x14ac:dyDescent="0.2">
      <c r="A113" s="25"/>
      <c r="B113" s="320" t="s">
        <v>133</v>
      </c>
      <c r="C113" s="64">
        <f t="shared" si="49"/>
        <v>0</v>
      </c>
      <c r="D113" s="64">
        <f t="shared" si="49"/>
        <v>0</v>
      </c>
      <c r="E113" s="64">
        <f t="shared" si="49"/>
        <v>0</v>
      </c>
      <c r="F113" s="64">
        <f t="shared" si="49"/>
        <v>0</v>
      </c>
      <c r="G113" s="54"/>
      <c r="H113" s="119"/>
      <c r="I113" s="54"/>
      <c r="J113" s="54"/>
      <c r="K113" s="54"/>
      <c r="L113" s="119"/>
      <c r="M113" s="54"/>
      <c r="N113" s="54"/>
      <c r="O113" s="54"/>
      <c r="P113" s="119"/>
      <c r="Q113" s="54"/>
      <c r="R113" s="54"/>
      <c r="S113" s="54"/>
      <c r="T113" s="119"/>
      <c r="U113" s="54"/>
      <c r="V113" s="54"/>
      <c r="W113" s="54"/>
      <c r="X113" s="119"/>
      <c r="Y113" s="54"/>
      <c r="Z113" s="54"/>
      <c r="AA113" s="54"/>
      <c r="AB113" s="119"/>
      <c r="AC113" s="54"/>
      <c r="AD113" s="54"/>
      <c r="AE113" s="54"/>
      <c r="AF113" s="119"/>
      <c r="AG113" s="54"/>
      <c r="AH113" s="54"/>
      <c r="AI113" s="54"/>
      <c r="AJ113" s="119"/>
      <c r="AK113" s="54"/>
      <c r="AL113" s="54"/>
      <c r="AM113" s="54"/>
      <c r="AN113" s="119"/>
      <c r="AO113" s="54"/>
      <c r="AP113" s="54"/>
      <c r="AQ113" s="54"/>
      <c r="AR113" s="119"/>
      <c r="AS113" s="54"/>
      <c r="AT113" s="54"/>
      <c r="AU113" s="54"/>
      <c r="AV113" s="119"/>
      <c r="AW113" s="54"/>
      <c r="AX113" s="54"/>
      <c r="AY113" s="54"/>
      <c r="AZ113" s="119"/>
      <c r="BA113" s="54"/>
      <c r="BB113" s="54"/>
      <c r="BC113" s="54"/>
      <c r="BD113" s="119"/>
      <c r="BE113" s="54"/>
      <c r="BF113" s="54"/>
      <c r="BG113" s="54"/>
      <c r="BH113" s="119"/>
      <c r="BI113" s="54"/>
      <c r="BJ113" s="180"/>
    </row>
    <row r="114" spans="1:62" s="141" customFormat="1" ht="24" customHeight="1" x14ac:dyDescent="0.2">
      <c r="A114" s="25"/>
      <c r="B114" s="208" t="s">
        <v>134</v>
      </c>
      <c r="C114" s="64">
        <f t="shared" si="49"/>
        <v>0</v>
      </c>
      <c r="D114" s="64">
        <f t="shared" si="49"/>
        <v>0</v>
      </c>
      <c r="E114" s="64">
        <f t="shared" si="49"/>
        <v>0</v>
      </c>
      <c r="F114" s="64">
        <f t="shared" si="49"/>
        <v>0</v>
      </c>
      <c r="G114" s="54"/>
      <c r="H114" s="119"/>
      <c r="I114" s="54"/>
      <c r="J114" s="54"/>
      <c r="K114" s="54"/>
      <c r="L114" s="119"/>
      <c r="M114" s="54"/>
      <c r="N114" s="54"/>
      <c r="O114" s="54"/>
      <c r="P114" s="119"/>
      <c r="Q114" s="54"/>
      <c r="R114" s="54"/>
      <c r="S114" s="54"/>
      <c r="T114" s="119"/>
      <c r="U114" s="54"/>
      <c r="V114" s="54"/>
      <c r="W114" s="54"/>
      <c r="X114" s="119"/>
      <c r="Y114" s="54"/>
      <c r="Z114" s="54"/>
      <c r="AA114" s="54"/>
      <c r="AB114" s="119"/>
      <c r="AC114" s="54"/>
      <c r="AD114" s="54"/>
      <c r="AE114" s="54"/>
      <c r="AF114" s="119"/>
      <c r="AG114" s="54"/>
      <c r="AH114" s="54"/>
      <c r="AI114" s="54"/>
      <c r="AJ114" s="119"/>
      <c r="AK114" s="54"/>
      <c r="AL114" s="54"/>
      <c r="AM114" s="54"/>
      <c r="AN114" s="119"/>
      <c r="AO114" s="54"/>
      <c r="AP114" s="54"/>
      <c r="AQ114" s="54"/>
      <c r="AR114" s="119"/>
      <c r="AS114" s="54"/>
      <c r="AT114" s="54"/>
      <c r="AU114" s="54"/>
      <c r="AV114" s="119"/>
      <c r="AW114" s="54"/>
      <c r="AX114" s="54"/>
      <c r="AY114" s="54"/>
      <c r="AZ114" s="119"/>
      <c r="BA114" s="54"/>
      <c r="BB114" s="54"/>
      <c r="BC114" s="54"/>
      <c r="BD114" s="119"/>
      <c r="BE114" s="54"/>
      <c r="BF114" s="54"/>
      <c r="BG114" s="54"/>
      <c r="BH114" s="119"/>
      <c r="BI114" s="54"/>
      <c r="BJ114" s="180"/>
    </row>
    <row r="115" spans="1:62" s="141" customFormat="1" ht="24" customHeight="1" x14ac:dyDescent="0.2">
      <c r="A115" s="25"/>
      <c r="B115" s="208" t="s">
        <v>135</v>
      </c>
      <c r="C115" s="64"/>
      <c r="D115" s="64"/>
      <c r="E115" s="64"/>
      <c r="F115" s="64"/>
      <c r="G115" s="54"/>
      <c r="H115" s="119"/>
      <c r="I115" s="54"/>
      <c r="J115" s="54"/>
      <c r="K115" s="54"/>
      <c r="L115" s="119"/>
      <c r="M115" s="54"/>
      <c r="N115" s="54"/>
      <c r="O115" s="54"/>
      <c r="P115" s="119"/>
      <c r="Q115" s="54"/>
      <c r="R115" s="54"/>
      <c r="S115" s="54"/>
      <c r="T115" s="119"/>
      <c r="U115" s="54"/>
      <c r="V115" s="54"/>
      <c r="W115" s="54"/>
      <c r="X115" s="119"/>
      <c r="Y115" s="54"/>
      <c r="Z115" s="54"/>
      <c r="AA115" s="54"/>
      <c r="AB115" s="119"/>
      <c r="AC115" s="54"/>
      <c r="AD115" s="54"/>
      <c r="AE115" s="54"/>
      <c r="AF115" s="119"/>
      <c r="AG115" s="54"/>
      <c r="AH115" s="54"/>
      <c r="AI115" s="54"/>
      <c r="AJ115" s="119"/>
      <c r="AK115" s="54"/>
      <c r="AL115" s="54"/>
      <c r="AM115" s="54"/>
      <c r="AN115" s="119"/>
      <c r="AO115" s="54"/>
      <c r="AP115" s="54"/>
      <c r="AQ115" s="54"/>
      <c r="AR115" s="119"/>
      <c r="AS115" s="54"/>
      <c r="AT115" s="54"/>
      <c r="AU115" s="54"/>
      <c r="AV115" s="119"/>
      <c r="AW115" s="54"/>
      <c r="AX115" s="54"/>
      <c r="AY115" s="54"/>
      <c r="AZ115" s="119"/>
      <c r="BA115" s="54"/>
      <c r="BB115" s="54"/>
      <c r="BC115" s="54"/>
      <c r="BD115" s="119"/>
      <c r="BE115" s="54"/>
      <c r="BF115" s="54"/>
      <c r="BG115" s="54"/>
      <c r="BH115" s="119"/>
      <c r="BI115" s="54"/>
      <c r="BJ115" s="180"/>
    </row>
    <row r="116" spans="1:62" s="141" customFormat="1" ht="25.5" x14ac:dyDescent="0.2">
      <c r="A116" s="25"/>
      <c r="B116" s="208" t="s">
        <v>136</v>
      </c>
      <c r="C116" s="64"/>
      <c r="D116" s="64">
        <f>H116+L116+P116+T116+X116+AB116+AF116+AJ116+AN116+AR116+AV116+AZ116+BD116+BH116</f>
        <v>0</v>
      </c>
      <c r="E116" s="64">
        <f>I116+M116+Q116+U116+Y116+AC116+AG116+AK116+AO116+AS116+AW116+BA116+BE116+BI116</f>
        <v>0</v>
      </c>
      <c r="F116" s="64">
        <f>J116+N116+R116+V116+Z116+AD116+AH116+AL116+AP116+AT116+AX116+BB116+BF116+BJ116</f>
        <v>0</v>
      </c>
      <c r="G116" s="54"/>
      <c r="H116" s="119"/>
      <c r="I116" s="54"/>
      <c r="J116" s="54"/>
      <c r="K116" s="54"/>
      <c r="L116" s="119"/>
      <c r="M116" s="54"/>
      <c r="N116" s="54"/>
      <c r="O116" s="54"/>
      <c r="P116" s="119"/>
      <c r="Q116" s="54"/>
      <c r="R116" s="54"/>
      <c r="S116" s="54"/>
      <c r="T116" s="119"/>
      <c r="U116" s="54"/>
      <c r="V116" s="54"/>
      <c r="W116" s="54"/>
      <c r="X116" s="119"/>
      <c r="Y116" s="54"/>
      <c r="Z116" s="54"/>
      <c r="AA116" s="54"/>
      <c r="AB116" s="119"/>
      <c r="AC116" s="54"/>
      <c r="AD116" s="54"/>
      <c r="AE116" s="54"/>
      <c r="AF116" s="119"/>
      <c r="AG116" s="54"/>
      <c r="AH116" s="54"/>
      <c r="AI116" s="54"/>
      <c r="AJ116" s="119"/>
      <c r="AK116" s="54"/>
      <c r="AL116" s="54"/>
      <c r="AM116" s="54"/>
      <c r="AN116" s="119"/>
      <c r="AO116" s="54"/>
      <c r="AP116" s="54"/>
      <c r="AQ116" s="54"/>
      <c r="AR116" s="119"/>
      <c r="AS116" s="54"/>
      <c r="AT116" s="54"/>
      <c r="AU116" s="54"/>
      <c r="AV116" s="119"/>
      <c r="AW116" s="54"/>
      <c r="AX116" s="54"/>
      <c r="AY116" s="54"/>
      <c r="AZ116" s="119"/>
      <c r="BA116" s="54"/>
      <c r="BB116" s="54"/>
      <c r="BC116" s="54"/>
      <c r="BD116" s="119"/>
      <c r="BE116" s="54"/>
      <c r="BF116" s="54"/>
      <c r="BG116" s="54"/>
      <c r="BH116" s="119"/>
      <c r="BI116" s="54"/>
      <c r="BJ116" s="180"/>
    </row>
    <row r="117" spans="1:62" s="38" customFormat="1" x14ac:dyDescent="0.2">
      <c r="A117" s="25"/>
      <c r="B117" s="205" t="s">
        <v>137</v>
      </c>
      <c r="C117" s="64">
        <f t="shared" ref="C117:F122" si="50">G117+K117+O117+S117+W117+AA117+AE117+AI117+AM117+AQ117+AU117+AY117+BC117+BG117</f>
        <v>0</v>
      </c>
      <c r="D117" s="64">
        <f t="shared" si="50"/>
        <v>0</v>
      </c>
      <c r="E117" s="64">
        <f t="shared" si="50"/>
        <v>0</v>
      </c>
      <c r="F117" s="64">
        <f t="shared" si="50"/>
        <v>0</v>
      </c>
      <c r="G117" s="54"/>
      <c r="H117" s="119"/>
      <c r="I117" s="54"/>
      <c r="J117" s="54"/>
      <c r="K117" s="54"/>
      <c r="L117" s="119"/>
      <c r="M117" s="54"/>
      <c r="N117" s="54"/>
      <c r="O117" s="54"/>
      <c r="P117" s="119"/>
      <c r="Q117" s="54"/>
      <c r="R117" s="54"/>
      <c r="S117" s="54"/>
      <c r="T117" s="119"/>
      <c r="U117" s="54"/>
      <c r="V117" s="54"/>
      <c r="W117" s="54"/>
      <c r="X117" s="119"/>
      <c r="Y117" s="54"/>
      <c r="Z117" s="54"/>
      <c r="AA117" s="54"/>
      <c r="AB117" s="119"/>
      <c r="AC117" s="54"/>
      <c r="AD117" s="54"/>
      <c r="AE117" s="54"/>
      <c r="AF117" s="119"/>
      <c r="AG117" s="54"/>
      <c r="AH117" s="54"/>
      <c r="AI117" s="54"/>
      <c r="AJ117" s="119"/>
      <c r="AK117" s="54"/>
      <c r="AL117" s="54"/>
      <c r="AM117" s="54"/>
      <c r="AN117" s="119"/>
      <c r="AO117" s="54"/>
      <c r="AP117" s="54"/>
      <c r="AQ117" s="54"/>
      <c r="AR117" s="119"/>
      <c r="AS117" s="54"/>
      <c r="AT117" s="54"/>
      <c r="AU117" s="54"/>
      <c r="AV117" s="119"/>
      <c r="AW117" s="54"/>
      <c r="AX117" s="54"/>
      <c r="AY117" s="54"/>
      <c r="AZ117" s="119"/>
      <c r="BA117" s="54"/>
      <c r="BB117" s="54"/>
      <c r="BC117" s="54"/>
      <c r="BD117" s="119"/>
      <c r="BE117" s="54"/>
      <c r="BF117" s="54"/>
      <c r="BG117" s="54"/>
      <c r="BH117" s="119"/>
      <c r="BI117" s="54"/>
      <c r="BJ117" s="180"/>
    </row>
    <row r="118" spans="1:62" s="38" customFormat="1" x14ac:dyDescent="0.2">
      <c r="A118" s="25"/>
      <c r="B118" s="205" t="s">
        <v>138</v>
      </c>
      <c r="C118" s="64">
        <f t="shared" si="50"/>
        <v>0</v>
      </c>
      <c r="D118" s="64">
        <f t="shared" si="50"/>
        <v>0</v>
      </c>
      <c r="E118" s="64">
        <f t="shared" si="50"/>
        <v>0</v>
      </c>
      <c r="F118" s="64">
        <f t="shared" si="50"/>
        <v>0</v>
      </c>
      <c r="G118" s="54"/>
      <c r="H118" s="119"/>
      <c r="I118" s="54"/>
      <c r="J118" s="54"/>
      <c r="K118" s="54"/>
      <c r="L118" s="119"/>
      <c r="M118" s="54"/>
      <c r="N118" s="54"/>
      <c r="O118" s="54"/>
      <c r="P118" s="119"/>
      <c r="Q118" s="54"/>
      <c r="R118" s="54"/>
      <c r="S118" s="54"/>
      <c r="T118" s="119"/>
      <c r="U118" s="54"/>
      <c r="V118" s="54"/>
      <c r="W118" s="54"/>
      <c r="X118" s="119"/>
      <c r="Y118" s="54"/>
      <c r="Z118" s="54"/>
      <c r="AA118" s="54"/>
      <c r="AB118" s="119"/>
      <c r="AC118" s="54"/>
      <c r="AD118" s="54"/>
      <c r="AE118" s="54"/>
      <c r="AF118" s="119"/>
      <c r="AG118" s="54"/>
      <c r="AH118" s="54"/>
      <c r="AI118" s="54"/>
      <c r="AJ118" s="119"/>
      <c r="AK118" s="54"/>
      <c r="AL118" s="54"/>
      <c r="AM118" s="54"/>
      <c r="AN118" s="119"/>
      <c r="AO118" s="54"/>
      <c r="AP118" s="54"/>
      <c r="AQ118" s="54"/>
      <c r="AR118" s="119"/>
      <c r="AS118" s="54"/>
      <c r="AT118" s="54"/>
      <c r="AU118" s="54"/>
      <c r="AV118" s="119"/>
      <c r="AW118" s="54"/>
      <c r="AX118" s="54"/>
      <c r="AY118" s="54"/>
      <c r="AZ118" s="119"/>
      <c r="BA118" s="54"/>
      <c r="BB118" s="54"/>
      <c r="BC118" s="54"/>
      <c r="BD118" s="119"/>
      <c r="BE118" s="54"/>
      <c r="BF118" s="54"/>
      <c r="BG118" s="54"/>
      <c r="BH118" s="119"/>
      <c r="BI118" s="54"/>
      <c r="BJ118" s="180"/>
    </row>
    <row r="119" spans="1:62" s="38" customFormat="1" x14ac:dyDescent="0.2">
      <c r="A119" s="25"/>
      <c r="B119" s="48" t="s">
        <v>139</v>
      </c>
      <c r="C119" s="64">
        <f t="shared" si="50"/>
        <v>0</v>
      </c>
      <c r="D119" s="64">
        <f t="shared" si="50"/>
        <v>0</v>
      </c>
      <c r="E119" s="64">
        <f t="shared" si="50"/>
        <v>0</v>
      </c>
      <c r="F119" s="64">
        <f t="shared" si="50"/>
        <v>0</v>
      </c>
      <c r="G119" s="54"/>
      <c r="H119" s="119"/>
      <c r="I119" s="54"/>
      <c r="J119" s="54"/>
      <c r="K119" s="54"/>
      <c r="L119" s="119"/>
      <c r="M119" s="54"/>
      <c r="N119" s="54"/>
      <c r="O119" s="54"/>
      <c r="P119" s="119"/>
      <c r="Q119" s="54"/>
      <c r="R119" s="54"/>
      <c r="S119" s="54"/>
      <c r="T119" s="119"/>
      <c r="U119" s="54"/>
      <c r="V119" s="54"/>
      <c r="W119" s="54"/>
      <c r="X119" s="119"/>
      <c r="Y119" s="54"/>
      <c r="Z119" s="54"/>
      <c r="AA119" s="54"/>
      <c r="AB119" s="119"/>
      <c r="AC119" s="54"/>
      <c r="AD119" s="54"/>
      <c r="AE119" s="54"/>
      <c r="AF119" s="119"/>
      <c r="AG119" s="54"/>
      <c r="AH119" s="54"/>
      <c r="AI119" s="54"/>
      <c r="AJ119" s="119"/>
      <c r="AK119" s="54"/>
      <c r="AL119" s="54"/>
      <c r="AM119" s="54"/>
      <c r="AN119" s="119"/>
      <c r="AO119" s="54"/>
      <c r="AP119" s="54"/>
      <c r="AQ119" s="54"/>
      <c r="AR119" s="119"/>
      <c r="AS119" s="54"/>
      <c r="AT119" s="54"/>
      <c r="AU119" s="54"/>
      <c r="AV119" s="119"/>
      <c r="AW119" s="54"/>
      <c r="AX119" s="54"/>
      <c r="AY119" s="54"/>
      <c r="AZ119" s="119"/>
      <c r="BA119" s="54"/>
      <c r="BB119" s="54"/>
      <c r="BC119" s="54"/>
      <c r="BD119" s="119"/>
      <c r="BE119" s="54"/>
      <c r="BF119" s="54"/>
      <c r="BG119" s="54"/>
      <c r="BH119" s="119"/>
      <c r="BI119" s="54"/>
      <c r="BJ119" s="180"/>
    </row>
    <row r="120" spans="1:62" s="38" customFormat="1" x14ac:dyDescent="0.2">
      <c r="A120" s="25"/>
      <c r="B120" s="48" t="s">
        <v>140</v>
      </c>
      <c r="C120" s="64">
        <f t="shared" si="50"/>
        <v>0</v>
      </c>
      <c r="D120" s="64">
        <f t="shared" si="50"/>
        <v>0</v>
      </c>
      <c r="E120" s="64">
        <f t="shared" si="50"/>
        <v>0</v>
      </c>
      <c r="F120" s="64">
        <f t="shared" si="50"/>
        <v>0</v>
      </c>
      <c r="G120" s="54"/>
      <c r="H120" s="119"/>
      <c r="I120" s="54"/>
      <c r="J120" s="54"/>
      <c r="K120" s="54"/>
      <c r="L120" s="119"/>
      <c r="M120" s="54"/>
      <c r="N120" s="54"/>
      <c r="O120" s="54"/>
      <c r="P120" s="119"/>
      <c r="Q120" s="54"/>
      <c r="R120" s="54"/>
      <c r="S120" s="54"/>
      <c r="T120" s="119"/>
      <c r="U120" s="54"/>
      <c r="V120" s="54"/>
      <c r="W120" s="54"/>
      <c r="X120" s="119"/>
      <c r="Y120" s="54"/>
      <c r="Z120" s="54"/>
      <c r="AA120" s="54"/>
      <c r="AB120" s="119"/>
      <c r="AC120" s="54"/>
      <c r="AD120" s="54"/>
      <c r="AE120" s="54"/>
      <c r="AF120" s="119"/>
      <c r="AG120" s="54"/>
      <c r="AH120" s="54"/>
      <c r="AI120" s="54"/>
      <c r="AJ120" s="119"/>
      <c r="AK120" s="54"/>
      <c r="AL120" s="54"/>
      <c r="AM120" s="54"/>
      <c r="AN120" s="119"/>
      <c r="AO120" s="54"/>
      <c r="AP120" s="54"/>
      <c r="AQ120" s="54"/>
      <c r="AR120" s="119"/>
      <c r="AS120" s="54"/>
      <c r="AT120" s="54"/>
      <c r="AU120" s="54"/>
      <c r="AV120" s="119"/>
      <c r="AW120" s="54"/>
      <c r="AX120" s="54"/>
      <c r="AY120" s="54"/>
      <c r="AZ120" s="119"/>
      <c r="BA120" s="54"/>
      <c r="BB120" s="54"/>
      <c r="BC120" s="54"/>
      <c r="BD120" s="119"/>
      <c r="BE120" s="54"/>
      <c r="BF120" s="54"/>
      <c r="BG120" s="54"/>
      <c r="BH120" s="119"/>
      <c r="BI120" s="54"/>
      <c r="BJ120" s="180"/>
    </row>
    <row r="121" spans="1:62" s="38" customFormat="1" x14ac:dyDescent="0.2">
      <c r="A121" s="25"/>
      <c r="B121" s="48" t="s">
        <v>141</v>
      </c>
      <c r="C121" s="64">
        <f t="shared" si="50"/>
        <v>0</v>
      </c>
      <c r="D121" s="64">
        <f t="shared" si="50"/>
        <v>0</v>
      </c>
      <c r="E121" s="64">
        <f t="shared" si="50"/>
        <v>0</v>
      </c>
      <c r="F121" s="64">
        <f t="shared" si="50"/>
        <v>0</v>
      </c>
      <c r="G121" s="54"/>
      <c r="H121" s="119"/>
      <c r="I121" s="54"/>
      <c r="J121" s="54"/>
      <c r="K121" s="54"/>
      <c r="L121" s="119"/>
      <c r="M121" s="54"/>
      <c r="N121" s="54"/>
      <c r="O121" s="54"/>
      <c r="P121" s="119"/>
      <c r="Q121" s="54"/>
      <c r="R121" s="54"/>
      <c r="S121" s="54"/>
      <c r="T121" s="119"/>
      <c r="U121" s="54"/>
      <c r="V121" s="54"/>
      <c r="W121" s="54"/>
      <c r="X121" s="119"/>
      <c r="Y121" s="54"/>
      <c r="Z121" s="54"/>
      <c r="AA121" s="54"/>
      <c r="AB121" s="119"/>
      <c r="AC121" s="54"/>
      <c r="AD121" s="54"/>
      <c r="AE121" s="54"/>
      <c r="AF121" s="119"/>
      <c r="AG121" s="54"/>
      <c r="AH121" s="54"/>
      <c r="AI121" s="54"/>
      <c r="AJ121" s="119"/>
      <c r="AK121" s="54"/>
      <c r="AL121" s="54"/>
      <c r="AM121" s="54"/>
      <c r="AN121" s="119"/>
      <c r="AO121" s="54"/>
      <c r="AP121" s="54"/>
      <c r="AQ121" s="54"/>
      <c r="AR121" s="119"/>
      <c r="AS121" s="54"/>
      <c r="AT121" s="54"/>
      <c r="AU121" s="54"/>
      <c r="AV121" s="119"/>
      <c r="AW121" s="54"/>
      <c r="AX121" s="54"/>
      <c r="AY121" s="54"/>
      <c r="AZ121" s="119"/>
      <c r="BA121" s="54"/>
      <c r="BB121" s="54"/>
      <c r="BC121" s="54"/>
      <c r="BD121" s="119"/>
      <c r="BE121" s="54"/>
      <c r="BF121" s="54"/>
      <c r="BG121" s="54"/>
      <c r="BH121" s="119"/>
      <c r="BI121" s="54"/>
      <c r="BJ121" s="180"/>
    </row>
    <row r="122" spans="1:62" s="38" customFormat="1" x14ac:dyDescent="0.2">
      <c r="A122" s="25"/>
      <c r="B122" s="48" t="s">
        <v>142</v>
      </c>
      <c r="C122" s="64">
        <f t="shared" si="50"/>
        <v>0</v>
      </c>
      <c r="D122" s="64">
        <f t="shared" si="50"/>
        <v>0</v>
      </c>
      <c r="E122" s="64">
        <f t="shared" si="50"/>
        <v>0</v>
      </c>
      <c r="F122" s="64">
        <f t="shared" si="50"/>
        <v>0</v>
      </c>
      <c r="G122" s="54"/>
      <c r="H122" s="119"/>
      <c r="I122" s="54"/>
      <c r="J122" s="54"/>
      <c r="K122" s="54"/>
      <c r="L122" s="119"/>
      <c r="M122" s="54"/>
      <c r="N122" s="54"/>
      <c r="O122" s="54"/>
      <c r="P122" s="119"/>
      <c r="Q122" s="54"/>
      <c r="R122" s="54"/>
      <c r="S122" s="54"/>
      <c r="T122" s="119"/>
      <c r="U122" s="54"/>
      <c r="V122" s="54"/>
      <c r="W122" s="54"/>
      <c r="X122" s="119"/>
      <c r="Y122" s="54"/>
      <c r="Z122" s="54"/>
      <c r="AA122" s="54"/>
      <c r="AB122" s="119"/>
      <c r="AC122" s="54"/>
      <c r="AD122" s="54"/>
      <c r="AE122" s="54"/>
      <c r="AF122" s="119"/>
      <c r="AG122" s="54"/>
      <c r="AH122" s="54"/>
      <c r="AI122" s="54"/>
      <c r="AJ122" s="119"/>
      <c r="AK122" s="54"/>
      <c r="AL122" s="54"/>
      <c r="AM122" s="54"/>
      <c r="AN122" s="119"/>
      <c r="AO122" s="54"/>
      <c r="AP122" s="54"/>
      <c r="AQ122" s="54"/>
      <c r="AR122" s="119"/>
      <c r="AS122" s="54"/>
      <c r="AT122" s="54"/>
      <c r="AU122" s="54"/>
      <c r="AV122" s="119"/>
      <c r="AW122" s="54"/>
      <c r="AX122" s="54"/>
      <c r="AY122" s="54"/>
      <c r="AZ122" s="119"/>
      <c r="BA122" s="54"/>
      <c r="BB122" s="54"/>
      <c r="BC122" s="54"/>
      <c r="BD122" s="119"/>
      <c r="BE122" s="54"/>
      <c r="BF122" s="54"/>
      <c r="BG122" s="54"/>
      <c r="BH122" s="119"/>
      <c r="BI122" s="54"/>
      <c r="BJ122" s="180"/>
    </row>
    <row r="123" spans="1:62" s="38" customFormat="1" x14ac:dyDescent="0.2">
      <c r="A123" s="25"/>
      <c r="B123" s="205" t="s">
        <v>143</v>
      </c>
      <c r="C123" s="64">
        <f t="shared" ref="C123:F123" si="51">G123+K123+O123+S123+W123+AA123+AE123+AI123+AM123+AQ123+AU123+AY123+BC123+BG123</f>
        <v>0</v>
      </c>
      <c r="D123" s="64">
        <f t="shared" si="51"/>
        <v>0</v>
      </c>
      <c r="E123" s="64">
        <f t="shared" si="51"/>
        <v>0</v>
      </c>
      <c r="F123" s="64">
        <f t="shared" si="51"/>
        <v>0</v>
      </c>
      <c r="G123" s="54"/>
      <c r="H123" s="119"/>
      <c r="I123" s="54"/>
      <c r="J123" s="54"/>
      <c r="K123" s="54"/>
      <c r="L123" s="119"/>
      <c r="M123" s="54"/>
      <c r="N123" s="54"/>
      <c r="O123" s="54"/>
      <c r="P123" s="119"/>
      <c r="Q123" s="54"/>
      <c r="R123" s="54"/>
      <c r="S123" s="54"/>
      <c r="T123" s="119"/>
      <c r="U123" s="54"/>
      <c r="V123" s="54"/>
      <c r="W123" s="54"/>
      <c r="X123" s="119"/>
      <c r="Y123" s="54"/>
      <c r="Z123" s="54"/>
      <c r="AA123" s="54"/>
      <c r="AB123" s="119"/>
      <c r="AC123" s="54"/>
      <c r="AD123" s="54"/>
      <c r="AE123" s="54"/>
      <c r="AF123" s="119"/>
      <c r="AG123" s="54"/>
      <c r="AH123" s="54"/>
      <c r="AI123" s="54"/>
      <c r="AJ123" s="119"/>
      <c r="AK123" s="54"/>
      <c r="AL123" s="54"/>
      <c r="AM123" s="54"/>
      <c r="AN123" s="119"/>
      <c r="AO123" s="54"/>
      <c r="AP123" s="54"/>
      <c r="AQ123" s="54"/>
      <c r="AR123" s="119"/>
      <c r="AS123" s="54"/>
      <c r="AT123" s="54"/>
      <c r="AU123" s="54"/>
      <c r="AV123" s="119"/>
      <c r="AW123" s="54"/>
      <c r="AX123" s="54"/>
      <c r="AY123" s="54"/>
      <c r="AZ123" s="119"/>
      <c r="BA123" s="54"/>
      <c r="BB123" s="54"/>
      <c r="BC123" s="54"/>
      <c r="BD123" s="119"/>
      <c r="BE123" s="54"/>
      <c r="BF123" s="54"/>
      <c r="BG123" s="54"/>
      <c r="BH123" s="119"/>
      <c r="BI123" s="54"/>
      <c r="BJ123" s="180"/>
    </row>
    <row r="124" spans="1:62" s="38" customFormat="1" x14ac:dyDescent="0.2">
      <c r="A124" s="25"/>
      <c r="B124" s="48" t="s">
        <v>144</v>
      </c>
      <c r="C124" s="64">
        <f t="shared" si="44"/>
        <v>0</v>
      </c>
      <c r="D124" s="64">
        <f t="shared" si="45"/>
        <v>0</v>
      </c>
      <c r="E124" s="64">
        <f t="shared" si="46"/>
        <v>0</v>
      </c>
      <c r="F124" s="64">
        <f t="shared" si="47"/>
        <v>0</v>
      </c>
      <c r="G124" s="54"/>
      <c r="H124" s="119"/>
      <c r="I124" s="54"/>
      <c r="J124" s="54"/>
      <c r="K124" s="54"/>
      <c r="L124" s="119"/>
      <c r="M124" s="54"/>
      <c r="N124" s="54"/>
      <c r="O124" s="54"/>
      <c r="P124" s="119"/>
      <c r="Q124" s="54"/>
      <c r="R124" s="54"/>
      <c r="S124" s="54"/>
      <c r="T124" s="119"/>
      <c r="U124" s="54"/>
      <c r="V124" s="54"/>
      <c r="W124" s="54"/>
      <c r="X124" s="119"/>
      <c r="Y124" s="54"/>
      <c r="Z124" s="54"/>
      <c r="AA124" s="54"/>
      <c r="AB124" s="119"/>
      <c r="AC124" s="54"/>
      <c r="AD124" s="54"/>
      <c r="AE124" s="54"/>
      <c r="AF124" s="119"/>
      <c r="AG124" s="54"/>
      <c r="AH124" s="54"/>
      <c r="AI124" s="54"/>
      <c r="AJ124" s="119"/>
      <c r="AK124" s="54"/>
      <c r="AL124" s="54"/>
      <c r="AM124" s="54"/>
      <c r="AN124" s="119"/>
      <c r="AO124" s="54"/>
      <c r="AP124" s="54"/>
      <c r="AQ124" s="54"/>
      <c r="AR124" s="119"/>
      <c r="AS124" s="54"/>
      <c r="AT124" s="54"/>
      <c r="AU124" s="54"/>
      <c r="AV124" s="119"/>
      <c r="AW124" s="54"/>
      <c r="AX124" s="54"/>
      <c r="AY124" s="54"/>
      <c r="AZ124" s="119"/>
      <c r="BA124" s="54"/>
      <c r="BB124" s="54"/>
      <c r="BC124" s="54"/>
      <c r="BD124" s="119"/>
      <c r="BE124" s="54"/>
      <c r="BF124" s="54"/>
      <c r="BG124" s="54"/>
      <c r="BH124" s="119"/>
      <c r="BI124" s="54"/>
      <c r="BJ124" s="180"/>
    </row>
    <row r="125" spans="1:62" s="38" customFormat="1" ht="51" x14ac:dyDescent="0.2">
      <c r="A125" s="25"/>
      <c r="B125" s="205" t="s">
        <v>145</v>
      </c>
      <c r="C125" s="64">
        <f>G125+K125+O125+S125+W125+AA125+AE125+AI125+AM125+AQ125+AU125+AY125+BC125+BG125</f>
        <v>0</v>
      </c>
      <c r="D125" s="64">
        <f>H125+L125+P125+T125+X125+AB125+AF125+AJ125+AN125+AR125+AV125+AZ125+BD125+BH125</f>
        <v>0</v>
      </c>
      <c r="E125" s="64">
        <f>I125+M125+Q125+U125+Y125+AC125+AG125+AK125+AO125+AS125+AW125+BA125+BE125+BI125</f>
        <v>0</v>
      </c>
      <c r="F125" s="64">
        <f>J125+N125+R125+V125+Z125+AD125+AH125+AL125+AP125+AT125+AX125+BB125+BF125+BJ125</f>
        <v>0</v>
      </c>
      <c r="G125" s="54"/>
      <c r="H125" s="119"/>
      <c r="I125" s="54"/>
      <c r="J125" s="54"/>
      <c r="K125" s="54"/>
      <c r="L125" s="119"/>
      <c r="M125" s="54"/>
      <c r="N125" s="54"/>
      <c r="O125" s="54"/>
      <c r="P125" s="119"/>
      <c r="Q125" s="54"/>
      <c r="R125" s="54"/>
      <c r="S125" s="54"/>
      <c r="T125" s="119"/>
      <c r="U125" s="54"/>
      <c r="V125" s="54"/>
      <c r="W125" s="54"/>
      <c r="X125" s="119"/>
      <c r="Y125" s="54"/>
      <c r="Z125" s="54"/>
      <c r="AA125" s="54"/>
      <c r="AB125" s="119"/>
      <c r="AC125" s="54"/>
      <c r="AD125" s="54"/>
      <c r="AE125" s="54"/>
      <c r="AF125" s="119"/>
      <c r="AG125" s="54"/>
      <c r="AH125" s="54"/>
      <c r="AI125" s="54"/>
      <c r="AJ125" s="119"/>
      <c r="AK125" s="54"/>
      <c r="AL125" s="54"/>
      <c r="AM125" s="54"/>
      <c r="AN125" s="119"/>
      <c r="AO125" s="54"/>
      <c r="AP125" s="54"/>
      <c r="AQ125" s="54"/>
      <c r="AR125" s="119"/>
      <c r="AS125" s="54"/>
      <c r="AT125" s="54"/>
      <c r="AU125" s="54"/>
      <c r="AV125" s="119"/>
      <c r="AW125" s="54"/>
      <c r="AX125" s="54"/>
      <c r="AY125" s="54"/>
      <c r="AZ125" s="119"/>
      <c r="BA125" s="54"/>
      <c r="BB125" s="54"/>
      <c r="BC125" s="54"/>
      <c r="BD125" s="119"/>
      <c r="BE125" s="54"/>
      <c r="BF125" s="54"/>
      <c r="BG125" s="54"/>
      <c r="BH125" s="119"/>
      <c r="BI125" s="54"/>
      <c r="BJ125" s="180"/>
    </row>
    <row r="126" spans="1:62" s="38" customFormat="1" x14ac:dyDescent="0.2">
      <c r="A126" s="25"/>
      <c r="B126" s="205" t="s">
        <v>146</v>
      </c>
      <c r="C126" s="64"/>
      <c r="D126" s="64"/>
      <c r="E126" s="64"/>
      <c r="F126" s="64"/>
      <c r="G126" s="54"/>
      <c r="H126" s="119"/>
      <c r="I126" s="54"/>
      <c r="J126" s="54"/>
      <c r="K126" s="54"/>
      <c r="L126" s="119"/>
      <c r="M126" s="54"/>
      <c r="N126" s="54"/>
      <c r="O126" s="54"/>
      <c r="P126" s="119"/>
      <c r="Q126" s="54"/>
      <c r="R126" s="54"/>
      <c r="S126" s="54"/>
      <c r="T126" s="119"/>
      <c r="U126" s="54"/>
      <c r="V126" s="54"/>
      <c r="W126" s="54"/>
      <c r="X126" s="119"/>
      <c r="Y126" s="54"/>
      <c r="Z126" s="54"/>
      <c r="AA126" s="54"/>
      <c r="AB126" s="119"/>
      <c r="AC126" s="54"/>
      <c r="AD126" s="54"/>
      <c r="AE126" s="54"/>
      <c r="AF126" s="119"/>
      <c r="AG126" s="54"/>
      <c r="AH126" s="54"/>
      <c r="AI126" s="54"/>
      <c r="AJ126" s="119"/>
      <c r="AK126" s="54"/>
      <c r="AL126" s="54"/>
      <c r="AM126" s="54"/>
      <c r="AN126" s="119"/>
      <c r="AO126" s="54"/>
      <c r="AP126" s="54"/>
      <c r="AQ126" s="54"/>
      <c r="AR126" s="119"/>
      <c r="AS126" s="54"/>
      <c r="AT126" s="54"/>
      <c r="AU126" s="54"/>
      <c r="AV126" s="119"/>
      <c r="AW126" s="54"/>
      <c r="AX126" s="54"/>
      <c r="AY126" s="54"/>
      <c r="AZ126" s="119"/>
      <c r="BA126" s="54"/>
      <c r="BB126" s="54"/>
      <c r="BC126" s="54"/>
      <c r="BD126" s="119"/>
      <c r="BE126" s="54"/>
      <c r="BF126" s="54"/>
      <c r="BG126" s="54"/>
      <c r="BH126" s="119"/>
      <c r="BI126" s="54"/>
      <c r="BJ126" s="180"/>
    </row>
    <row r="127" spans="1:62" s="38" customFormat="1" x14ac:dyDescent="0.2">
      <c r="A127" s="25"/>
      <c r="B127" s="205" t="s">
        <v>147</v>
      </c>
      <c r="C127" s="64"/>
      <c r="D127" s="64"/>
      <c r="E127" s="64"/>
      <c r="F127" s="64"/>
      <c r="G127" s="54"/>
      <c r="H127" s="119"/>
      <c r="I127" s="54"/>
      <c r="J127" s="54"/>
      <c r="K127" s="54"/>
      <c r="L127" s="119"/>
      <c r="M127" s="54"/>
      <c r="N127" s="54"/>
      <c r="O127" s="54"/>
      <c r="P127" s="119"/>
      <c r="Q127" s="54"/>
      <c r="R127" s="54"/>
      <c r="S127" s="54"/>
      <c r="T127" s="119"/>
      <c r="U127" s="54"/>
      <c r="V127" s="54"/>
      <c r="W127" s="54"/>
      <c r="X127" s="119"/>
      <c r="Y127" s="54"/>
      <c r="Z127" s="54"/>
      <c r="AA127" s="54"/>
      <c r="AB127" s="119"/>
      <c r="AC127" s="54"/>
      <c r="AD127" s="54"/>
      <c r="AE127" s="54"/>
      <c r="AF127" s="119"/>
      <c r="AG127" s="54"/>
      <c r="AH127" s="54"/>
      <c r="AI127" s="54"/>
      <c r="AJ127" s="119"/>
      <c r="AK127" s="54"/>
      <c r="AL127" s="54"/>
      <c r="AM127" s="54"/>
      <c r="AN127" s="119"/>
      <c r="AO127" s="54"/>
      <c r="AP127" s="54"/>
      <c r="AQ127" s="54"/>
      <c r="AR127" s="119"/>
      <c r="AS127" s="54"/>
      <c r="AT127" s="54"/>
      <c r="AU127" s="54"/>
      <c r="AV127" s="119"/>
      <c r="AW127" s="54"/>
      <c r="AX127" s="54"/>
      <c r="AY127" s="54"/>
      <c r="AZ127" s="119"/>
      <c r="BA127" s="54"/>
      <c r="BB127" s="54"/>
      <c r="BC127" s="54"/>
      <c r="BD127" s="119"/>
      <c r="BE127" s="54"/>
      <c r="BF127" s="54"/>
      <c r="BG127" s="54"/>
      <c r="BH127" s="119"/>
      <c r="BI127" s="54"/>
      <c r="BJ127" s="180"/>
    </row>
    <row r="128" spans="1:62" s="38" customFormat="1" x14ac:dyDescent="0.2">
      <c r="A128" s="25"/>
      <c r="B128" s="205" t="s">
        <v>148</v>
      </c>
      <c r="C128" s="64"/>
      <c r="D128" s="64"/>
      <c r="E128" s="64"/>
      <c r="F128" s="64"/>
      <c r="G128" s="54"/>
      <c r="H128" s="119"/>
      <c r="I128" s="54"/>
      <c r="J128" s="54"/>
      <c r="K128" s="54"/>
      <c r="L128" s="119"/>
      <c r="M128" s="54"/>
      <c r="N128" s="54"/>
      <c r="O128" s="54"/>
      <c r="P128" s="119"/>
      <c r="Q128" s="54"/>
      <c r="R128" s="54"/>
      <c r="S128" s="54"/>
      <c r="T128" s="119"/>
      <c r="U128" s="54"/>
      <c r="V128" s="54"/>
      <c r="W128" s="54"/>
      <c r="X128" s="119"/>
      <c r="Y128" s="54"/>
      <c r="Z128" s="54"/>
      <c r="AA128" s="54"/>
      <c r="AB128" s="119"/>
      <c r="AC128" s="54"/>
      <c r="AD128" s="54"/>
      <c r="AE128" s="54"/>
      <c r="AF128" s="119"/>
      <c r="AG128" s="54"/>
      <c r="AH128" s="54"/>
      <c r="AI128" s="54"/>
      <c r="AJ128" s="119"/>
      <c r="AK128" s="54"/>
      <c r="AL128" s="54"/>
      <c r="AM128" s="54"/>
      <c r="AN128" s="119"/>
      <c r="AO128" s="54"/>
      <c r="AP128" s="54"/>
      <c r="AQ128" s="54"/>
      <c r="AR128" s="119"/>
      <c r="AS128" s="54"/>
      <c r="AT128" s="54"/>
      <c r="AU128" s="54"/>
      <c r="AV128" s="119"/>
      <c r="AW128" s="54"/>
      <c r="AX128" s="54"/>
      <c r="AY128" s="54"/>
      <c r="AZ128" s="119"/>
      <c r="BA128" s="54"/>
      <c r="BB128" s="54"/>
      <c r="BC128" s="54"/>
      <c r="BD128" s="119"/>
      <c r="BE128" s="54"/>
      <c r="BF128" s="54"/>
      <c r="BG128" s="54"/>
      <c r="BH128" s="119"/>
      <c r="BI128" s="54"/>
      <c r="BJ128" s="180"/>
    </row>
    <row r="129" spans="1:62" s="53" customFormat="1" ht="25.9" customHeight="1" x14ac:dyDescent="0.25">
      <c r="A129" s="25"/>
      <c r="B129" s="205" t="s">
        <v>149</v>
      </c>
      <c r="C129" s="64">
        <f t="shared" si="44"/>
        <v>0</v>
      </c>
      <c r="D129" s="64">
        <f t="shared" si="45"/>
        <v>0</v>
      </c>
      <c r="E129" s="64">
        <f t="shared" si="46"/>
        <v>0</v>
      </c>
      <c r="F129" s="64">
        <f t="shared" si="47"/>
        <v>0</v>
      </c>
      <c r="G129" s="54"/>
      <c r="H129" s="119"/>
      <c r="I129" s="54"/>
      <c r="J129" s="54"/>
      <c r="K129" s="54"/>
      <c r="L129" s="119"/>
      <c r="M129" s="54"/>
      <c r="N129" s="54"/>
      <c r="O129" s="54"/>
      <c r="P129" s="119"/>
      <c r="Q129" s="54"/>
      <c r="R129" s="54"/>
      <c r="S129" s="54"/>
      <c r="T129" s="119"/>
      <c r="U129" s="54"/>
      <c r="V129" s="54"/>
      <c r="W129" s="54"/>
      <c r="X129" s="119"/>
      <c r="Y129" s="54"/>
      <c r="Z129" s="54"/>
      <c r="AA129" s="54"/>
      <c r="AB129" s="119"/>
      <c r="AC129" s="54"/>
      <c r="AD129" s="54"/>
      <c r="AE129" s="54"/>
      <c r="AF129" s="119"/>
      <c r="AG129" s="54"/>
      <c r="AH129" s="54"/>
      <c r="AI129" s="54"/>
      <c r="AJ129" s="119"/>
      <c r="AK129" s="54"/>
      <c r="AL129" s="54"/>
      <c r="AM129" s="54"/>
      <c r="AN129" s="119"/>
      <c r="AO129" s="54"/>
      <c r="AP129" s="54"/>
      <c r="AQ129" s="54"/>
      <c r="AR129" s="119"/>
      <c r="AS129" s="54"/>
      <c r="AT129" s="54"/>
      <c r="AU129" s="47"/>
      <c r="AV129" s="119"/>
      <c r="AW129" s="54"/>
      <c r="AX129" s="54"/>
      <c r="AY129" s="54"/>
      <c r="AZ129" s="119"/>
      <c r="BA129" s="54"/>
      <c r="BB129" s="54"/>
      <c r="BC129" s="54"/>
      <c r="BD129" s="119"/>
      <c r="BE129" s="54"/>
      <c r="BF129" s="54"/>
      <c r="BG129" s="54"/>
      <c r="BH129" s="119"/>
      <c r="BI129" s="54"/>
      <c r="BJ129" s="180"/>
    </row>
    <row r="130" spans="1:62" s="38" customFormat="1" x14ac:dyDescent="0.2">
      <c r="A130" s="25"/>
      <c r="B130" s="205" t="s">
        <v>150</v>
      </c>
      <c r="C130" s="64">
        <f t="shared" si="44"/>
        <v>0</v>
      </c>
      <c r="D130" s="64">
        <f t="shared" si="45"/>
        <v>0</v>
      </c>
      <c r="E130" s="64">
        <f t="shared" si="46"/>
        <v>0</v>
      </c>
      <c r="F130" s="64">
        <f t="shared" si="47"/>
        <v>0</v>
      </c>
      <c r="G130" s="54"/>
      <c r="H130" s="119"/>
      <c r="I130" s="54"/>
      <c r="J130" s="54"/>
      <c r="K130" s="54"/>
      <c r="L130" s="119"/>
      <c r="M130" s="54"/>
      <c r="N130" s="54"/>
      <c r="O130" s="54"/>
      <c r="P130" s="119"/>
      <c r="Q130" s="54"/>
      <c r="R130" s="54"/>
      <c r="S130" s="54"/>
      <c r="T130" s="119"/>
      <c r="U130" s="54"/>
      <c r="V130" s="54"/>
      <c r="W130" s="54"/>
      <c r="X130" s="119"/>
      <c r="Y130" s="54"/>
      <c r="Z130" s="54"/>
      <c r="AA130" s="54"/>
      <c r="AB130" s="119"/>
      <c r="AC130" s="54"/>
      <c r="AD130" s="54"/>
      <c r="AE130" s="54"/>
      <c r="AF130" s="119"/>
      <c r="AG130" s="54"/>
      <c r="AH130" s="54"/>
      <c r="AI130" s="54"/>
      <c r="AJ130" s="119"/>
      <c r="AK130" s="54"/>
      <c r="AL130" s="54"/>
      <c r="AM130" s="54"/>
      <c r="AN130" s="119"/>
      <c r="AO130" s="54"/>
      <c r="AP130" s="54"/>
      <c r="AQ130" s="54"/>
      <c r="AR130" s="119"/>
      <c r="AS130" s="54"/>
      <c r="AT130" s="54"/>
      <c r="AU130" s="54"/>
      <c r="AV130" s="119"/>
      <c r="AW130" s="54"/>
      <c r="AX130" s="54"/>
      <c r="AY130" s="54"/>
      <c r="AZ130" s="119"/>
      <c r="BA130" s="54"/>
      <c r="BB130" s="54"/>
      <c r="BC130" s="54"/>
      <c r="BD130" s="119"/>
      <c r="BE130" s="54"/>
      <c r="BF130" s="54"/>
      <c r="BG130" s="54"/>
      <c r="BH130" s="119"/>
      <c r="BI130" s="54"/>
      <c r="BJ130" s="180"/>
    </row>
    <row r="131" spans="1:62" s="38" customFormat="1" ht="15" x14ac:dyDescent="0.25">
      <c r="A131" s="25"/>
      <c r="B131" s="205" t="s">
        <v>151</v>
      </c>
      <c r="C131" s="64">
        <f t="shared" si="44"/>
        <v>9</v>
      </c>
      <c r="D131" s="64">
        <f t="shared" si="45"/>
        <v>90000</v>
      </c>
      <c r="E131" s="64">
        <f t="shared" si="46"/>
        <v>0</v>
      </c>
      <c r="F131" s="64">
        <f t="shared" si="47"/>
        <v>0</v>
      </c>
      <c r="G131" s="47">
        <v>3</v>
      </c>
      <c r="H131" s="119">
        <f>G131*10000</f>
        <v>30000</v>
      </c>
      <c r="I131" s="54"/>
      <c r="J131" s="54"/>
      <c r="K131" s="54"/>
      <c r="L131" s="119"/>
      <c r="M131" s="54"/>
      <c r="N131" s="54"/>
      <c r="O131" s="54"/>
      <c r="P131" s="119"/>
      <c r="Q131" s="54"/>
      <c r="R131" s="54"/>
      <c r="S131" s="54"/>
      <c r="T131" s="119"/>
      <c r="U131" s="54"/>
      <c r="V131" s="54"/>
      <c r="W131" s="54"/>
      <c r="X131" s="119"/>
      <c r="Y131" s="54"/>
      <c r="Z131" s="54"/>
      <c r="AA131" s="54"/>
      <c r="AB131" s="119"/>
      <c r="AC131" s="54"/>
      <c r="AD131" s="54"/>
      <c r="AE131" s="54"/>
      <c r="AF131" s="119"/>
      <c r="AG131" s="54"/>
      <c r="AH131" s="54"/>
      <c r="AI131" s="54"/>
      <c r="AJ131" s="119"/>
      <c r="AK131" s="54"/>
      <c r="AL131" s="54"/>
      <c r="AM131" s="54">
        <v>4</v>
      </c>
      <c r="AN131" s="119">
        <f>AM131*10000</f>
        <v>40000</v>
      </c>
      <c r="AO131" s="54"/>
      <c r="AP131" s="54"/>
      <c r="AQ131" s="54"/>
      <c r="AR131" s="119"/>
      <c r="AS131" s="54"/>
      <c r="AT131" s="54"/>
      <c r="AU131" s="54"/>
      <c r="AV131" s="119"/>
      <c r="AW131" s="54"/>
      <c r="AX131" s="54"/>
      <c r="AY131" s="54"/>
      <c r="AZ131" s="119"/>
      <c r="BA131" s="54"/>
      <c r="BB131" s="54"/>
      <c r="BC131" s="54">
        <v>1</v>
      </c>
      <c r="BD131" s="119">
        <f>BC131*10000</f>
        <v>10000</v>
      </c>
      <c r="BE131" s="54"/>
      <c r="BF131" s="54"/>
      <c r="BG131" s="47">
        <v>1</v>
      </c>
      <c r="BH131" s="47">
        <f>BG131*10000</f>
        <v>10000</v>
      </c>
      <c r="BI131" s="54"/>
      <c r="BJ131" s="180"/>
    </row>
    <row r="132" spans="1:62" s="38" customFormat="1" ht="15.75" thickBot="1" x14ac:dyDescent="0.3">
      <c r="A132" s="181"/>
      <c r="B132" s="182" t="s">
        <v>152</v>
      </c>
      <c r="C132" s="239">
        <f t="shared" si="44"/>
        <v>10</v>
      </c>
      <c r="D132" s="239">
        <f t="shared" si="45"/>
        <v>440000</v>
      </c>
      <c r="E132" s="239">
        <f t="shared" si="46"/>
        <v>0</v>
      </c>
      <c r="F132" s="239">
        <f t="shared" si="47"/>
        <v>0</v>
      </c>
      <c r="G132" s="200"/>
      <c r="H132" s="184"/>
      <c r="I132" s="200"/>
      <c r="J132" s="200"/>
      <c r="K132" s="200">
        <v>2</v>
      </c>
      <c r="L132" s="184">
        <f>K132*60000</f>
        <v>120000</v>
      </c>
      <c r="M132" s="200"/>
      <c r="N132" s="200"/>
      <c r="O132" s="183"/>
      <c r="P132" s="183"/>
      <c r="Q132" s="200"/>
      <c r="R132" s="200"/>
      <c r="S132" s="200"/>
      <c r="T132" s="184"/>
      <c r="U132" s="200"/>
      <c r="V132" s="200"/>
      <c r="W132" s="200"/>
      <c r="X132" s="184"/>
      <c r="Y132" s="200"/>
      <c r="Z132" s="200"/>
      <c r="AA132" s="200">
        <v>2</v>
      </c>
      <c r="AB132" s="184">
        <f>AA132*40000</f>
        <v>80000</v>
      </c>
      <c r="AC132" s="200"/>
      <c r="AD132" s="200"/>
      <c r="AE132" s="200"/>
      <c r="AF132" s="184"/>
      <c r="AG132" s="200"/>
      <c r="AH132" s="200"/>
      <c r="AI132" s="200"/>
      <c r="AJ132" s="184"/>
      <c r="AK132" s="200"/>
      <c r="AL132" s="200"/>
      <c r="AM132" s="200">
        <v>2</v>
      </c>
      <c r="AN132" s="184">
        <f>AM132*40000</f>
        <v>80000</v>
      </c>
      <c r="AO132" s="200"/>
      <c r="AP132" s="200"/>
      <c r="AQ132" s="200"/>
      <c r="AR132" s="184"/>
      <c r="AS132" s="200"/>
      <c r="AT132" s="200"/>
      <c r="AU132" s="200"/>
      <c r="AV132" s="184"/>
      <c r="AW132" s="200"/>
      <c r="AX132" s="200"/>
      <c r="AY132" s="200">
        <v>1</v>
      </c>
      <c r="AZ132" s="184">
        <f>AY132*40000</f>
        <v>40000</v>
      </c>
      <c r="BA132" s="200"/>
      <c r="BB132" s="200"/>
      <c r="BC132" s="200"/>
      <c r="BD132" s="184"/>
      <c r="BE132" s="200"/>
      <c r="BF132" s="200"/>
      <c r="BG132" s="200">
        <v>3</v>
      </c>
      <c r="BH132" s="184">
        <f>BG132*40000</f>
        <v>120000</v>
      </c>
      <c r="BI132" s="200"/>
      <c r="BJ132" s="186"/>
    </row>
    <row r="133" spans="1:62" ht="13.5" thickBot="1" x14ac:dyDescent="0.25">
      <c r="A133" s="278"/>
      <c r="B133" s="233" t="s">
        <v>160</v>
      </c>
      <c r="C133" s="107">
        <f t="shared" ref="C133:AH133" si="52">SUM(C94:C132)</f>
        <v>19</v>
      </c>
      <c r="D133" s="107">
        <f t="shared" si="52"/>
        <v>530000</v>
      </c>
      <c r="E133" s="107">
        <f t="shared" si="52"/>
        <v>0</v>
      </c>
      <c r="F133" s="107">
        <f t="shared" si="52"/>
        <v>0</v>
      </c>
      <c r="G133" s="107">
        <f t="shared" si="52"/>
        <v>3</v>
      </c>
      <c r="H133" s="107">
        <f t="shared" si="52"/>
        <v>30000</v>
      </c>
      <c r="I133" s="107">
        <f t="shared" si="52"/>
        <v>0</v>
      </c>
      <c r="J133" s="107">
        <f t="shared" si="52"/>
        <v>0</v>
      </c>
      <c r="K133" s="107">
        <f t="shared" si="52"/>
        <v>2</v>
      </c>
      <c r="L133" s="107">
        <f t="shared" si="52"/>
        <v>120000</v>
      </c>
      <c r="M133" s="107">
        <f t="shared" si="52"/>
        <v>0</v>
      </c>
      <c r="N133" s="107">
        <f t="shared" si="52"/>
        <v>0</v>
      </c>
      <c r="O133" s="107">
        <f t="shared" si="52"/>
        <v>0</v>
      </c>
      <c r="P133" s="107">
        <f t="shared" si="52"/>
        <v>0</v>
      </c>
      <c r="Q133" s="107">
        <f t="shared" si="52"/>
        <v>0</v>
      </c>
      <c r="R133" s="107">
        <f t="shared" si="52"/>
        <v>0</v>
      </c>
      <c r="S133" s="107">
        <f t="shared" si="52"/>
        <v>0</v>
      </c>
      <c r="T133" s="107">
        <f t="shared" si="52"/>
        <v>0</v>
      </c>
      <c r="U133" s="107">
        <f t="shared" si="52"/>
        <v>0</v>
      </c>
      <c r="V133" s="107">
        <f t="shared" si="52"/>
        <v>0</v>
      </c>
      <c r="W133" s="107">
        <f t="shared" si="52"/>
        <v>0</v>
      </c>
      <c r="X133" s="107">
        <f t="shared" si="52"/>
        <v>0</v>
      </c>
      <c r="Y133" s="107">
        <f t="shared" si="52"/>
        <v>0</v>
      </c>
      <c r="Z133" s="107">
        <f t="shared" si="52"/>
        <v>0</v>
      </c>
      <c r="AA133" s="107">
        <f t="shared" si="52"/>
        <v>2</v>
      </c>
      <c r="AB133" s="107">
        <f t="shared" si="52"/>
        <v>80000</v>
      </c>
      <c r="AC133" s="107">
        <f t="shared" si="52"/>
        <v>0</v>
      </c>
      <c r="AD133" s="107">
        <f t="shared" si="52"/>
        <v>0</v>
      </c>
      <c r="AE133" s="107">
        <f t="shared" si="52"/>
        <v>0</v>
      </c>
      <c r="AF133" s="107">
        <f t="shared" si="52"/>
        <v>0</v>
      </c>
      <c r="AG133" s="107">
        <f t="shared" si="52"/>
        <v>0</v>
      </c>
      <c r="AH133" s="107">
        <f t="shared" si="52"/>
        <v>0</v>
      </c>
      <c r="AI133" s="107">
        <f t="shared" ref="AI133:BJ133" si="53">SUM(AI94:AI132)</f>
        <v>0</v>
      </c>
      <c r="AJ133" s="107">
        <f t="shared" si="53"/>
        <v>0</v>
      </c>
      <c r="AK133" s="107">
        <f t="shared" si="53"/>
        <v>0</v>
      </c>
      <c r="AL133" s="107">
        <f t="shared" si="53"/>
        <v>0</v>
      </c>
      <c r="AM133" s="107">
        <f t="shared" si="53"/>
        <v>6</v>
      </c>
      <c r="AN133" s="107">
        <f t="shared" si="53"/>
        <v>120000</v>
      </c>
      <c r="AO133" s="107">
        <f t="shared" si="53"/>
        <v>0</v>
      </c>
      <c r="AP133" s="107">
        <f t="shared" si="53"/>
        <v>0</v>
      </c>
      <c r="AQ133" s="107">
        <f t="shared" si="53"/>
        <v>0</v>
      </c>
      <c r="AR133" s="107">
        <f t="shared" si="53"/>
        <v>0</v>
      </c>
      <c r="AS133" s="107">
        <f t="shared" si="53"/>
        <v>0</v>
      </c>
      <c r="AT133" s="107">
        <f t="shared" si="53"/>
        <v>0</v>
      </c>
      <c r="AU133" s="107">
        <f t="shared" si="53"/>
        <v>0</v>
      </c>
      <c r="AV133" s="107">
        <f t="shared" si="53"/>
        <v>0</v>
      </c>
      <c r="AW133" s="107">
        <f t="shared" si="53"/>
        <v>0</v>
      </c>
      <c r="AX133" s="107">
        <f t="shared" si="53"/>
        <v>0</v>
      </c>
      <c r="AY133" s="107">
        <f t="shared" si="53"/>
        <v>1</v>
      </c>
      <c r="AZ133" s="107">
        <f t="shared" si="53"/>
        <v>40000</v>
      </c>
      <c r="BA133" s="107">
        <f t="shared" si="53"/>
        <v>0</v>
      </c>
      <c r="BB133" s="107">
        <f t="shared" si="53"/>
        <v>0</v>
      </c>
      <c r="BC133" s="107">
        <f t="shared" si="53"/>
        <v>1</v>
      </c>
      <c r="BD133" s="107">
        <f t="shared" si="53"/>
        <v>10000</v>
      </c>
      <c r="BE133" s="107">
        <f t="shared" si="53"/>
        <v>0</v>
      </c>
      <c r="BF133" s="107">
        <f t="shared" si="53"/>
        <v>0</v>
      </c>
      <c r="BG133" s="107">
        <f t="shared" si="53"/>
        <v>4</v>
      </c>
      <c r="BH133" s="107">
        <f t="shared" si="53"/>
        <v>130000</v>
      </c>
      <c r="BI133" s="107">
        <f t="shared" si="53"/>
        <v>0</v>
      </c>
      <c r="BJ133" s="107">
        <f t="shared" si="53"/>
        <v>0</v>
      </c>
    </row>
    <row r="134" spans="1:62" s="38" customFormat="1" x14ac:dyDescent="0.2">
      <c r="A134" s="210" t="s">
        <v>11</v>
      </c>
      <c r="B134" s="211" t="s">
        <v>153</v>
      </c>
      <c r="C134" s="177"/>
      <c r="D134" s="178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7"/>
      <c r="AT134" s="177"/>
      <c r="AU134" s="177"/>
      <c r="AV134" s="177"/>
      <c r="AW134" s="177"/>
      <c r="AX134" s="177"/>
      <c r="AY134" s="177"/>
      <c r="AZ134" s="177"/>
      <c r="BA134" s="177"/>
      <c r="BB134" s="177"/>
      <c r="BC134" s="177"/>
      <c r="BD134" s="177"/>
      <c r="BE134" s="177"/>
      <c r="BF134" s="177"/>
      <c r="BG134" s="177"/>
      <c r="BH134" s="177"/>
      <c r="BI134" s="177"/>
      <c r="BJ134" s="179"/>
    </row>
    <row r="135" spans="1:62" s="38" customFormat="1" ht="25.5" x14ac:dyDescent="0.25">
      <c r="A135" s="25"/>
      <c r="B135" s="205" t="s">
        <v>163</v>
      </c>
      <c r="C135" s="64">
        <f t="shared" ref="C135:C165" si="54">G135+K135+O135+S135+W135+AA135+AE135+AI135+AM135+AQ135+AU135+AY135+BC135+BG135</f>
        <v>173</v>
      </c>
      <c r="D135" s="64">
        <f t="shared" ref="D135:D165" si="55">H135+L135+P135+T135+X135+AB135+AF135+AJ135+AN135+AR135+AV135+AZ135+BD135+BH135</f>
        <v>1349330</v>
      </c>
      <c r="E135" s="64">
        <f t="shared" ref="E135:E165" si="56">I135+M135+Q135+U135+Y135+AC135+AG135+AK135+AO135+AS135+AW135+BA135+BE135+BI135</f>
        <v>0</v>
      </c>
      <c r="F135" s="64">
        <f t="shared" ref="F135:F165" si="57">J135+N135+R135+V135+Z135+AD135+AH135+AL135+AP135+AT135+AX135+BB135+BF135+BJ135</f>
        <v>0</v>
      </c>
      <c r="G135" s="47">
        <v>30</v>
      </c>
      <c r="H135" s="119">
        <v>9390</v>
      </c>
      <c r="I135" s="54"/>
      <c r="J135" s="54"/>
      <c r="K135" s="54"/>
      <c r="L135" s="119"/>
      <c r="M135" s="54"/>
      <c r="N135" s="54"/>
      <c r="O135" s="47">
        <v>20</v>
      </c>
      <c r="P135" s="47">
        <v>18000</v>
      </c>
      <c r="Q135" s="47"/>
      <c r="R135" s="54"/>
      <c r="S135" s="47">
        <v>50</v>
      </c>
      <c r="T135" s="119">
        <v>2270</v>
      </c>
      <c r="U135" s="54"/>
      <c r="V135" s="54"/>
      <c r="W135" s="47">
        <v>1</v>
      </c>
      <c r="X135" s="119">
        <v>500000</v>
      </c>
      <c r="Y135" s="54"/>
      <c r="Z135" s="54"/>
      <c r="AA135" s="47"/>
      <c r="AB135" s="47"/>
      <c r="AC135" s="54"/>
      <c r="AD135" s="54"/>
      <c r="AE135" s="47">
        <v>5</v>
      </c>
      <c r="AF135" s="119">
        <v>10000</v>
      </c>
      <c r="AG135" s="54"/>
      <c r="AH135" s="54"/>
      <c r="AI135" s="47">
        <v>1</v>
      </c>
      <c r="AJ135" s="119">
        <v>100000</v>
      </c>
      <c r="AK135" s="54"/>
      <c r="AL135" s="54"/>
      <c r="AM135" s="47"/>
      <c r="AN135" s="119"/>
      <c r="AO135" s="54"/>
      <c r="AP135" s="54"/>
      <c r="AQ135" s="47">
        <v>11</v>
      </c>
      <c r="AR135" s="119">
        <v>100780</v>
      </c>
      <c r="AS135" s="54"/>
      <c r="AT135" s="54"/>
      <c r="AU135" s="54">
        <v>1</v>
      </c>
      <c r="AV135" s="119">
        <v>70000</v>
      </c>
      <c r="AW135" s="54"/>
      <c r="AX135" s="54"/>
      <c r="AY135" s="47">
        <v>51</v>
      </c>
      <c r="AZ135" s="119">
        <v>42930</v>
      </c>
      <c r="BA135" s="54"/>
      <c r="BB135" s="54"/>
      <c r="BC135" s="54">
        <v>1</v>
      </c>
      <c r="BD135" s="119">
        <v>4000</v>
      </c>
      <c r="BE135" s="54"/>
      <c r="BF135" s="54"/>
      <c r="BG135" s="47">
        <v>2</v>
      </c>
      <c r="BH135" s="119">
        <v>491960</v>
      </c>
      <c r="BI135" s="54"/>
      <c r="BJ135" s="180"/>
    </row>
    <row r="136" spans="1:62" s="38" customFormat="1" ht="15" x14ac:dyDescent="0.25">
      <c r="A136" s="25"/>
      <c r="B136" s="205" t="s">
        <v>164</v>
      </c>
      <c r="C136" s="64">
        <f t="shared" si="54"/>
        <v>2</v>
      </c>
      <c r="D136" s="64">
        <f t="shared" si="55"/>
        <v>700000</v>
      </c>
      <c r="E136" s="64">
        <f t="shared" si="56"/>
        <v>0</v>
      </c>
      <c r="F136" s="64">
        <f t="shared" si="57"/>
        <v>0</v>
      </c>
      <c r="G136" s="54"/>
      <c r="H136" s="119"/>
      <c r="I136" s="54"/>
      <c r="J136" s="54"/>
      <c r="K136" s="54"/>
      <c r="L136" s="119"/>
      <c r="M136" s="54"/>
      <c r="N136" s="54"/>
      <c r="O136" s="119"/>
      <c r="P136" s="54"/>
      <c r="Q136" s="54"/>
      <c r="R136" s="54"/>
      <c r="S136" s="54"/>
      <c r="T136" s="119"/>
      <c r="U136" s="54"/>
      <c r="V136" s="54"/>
      <c r="W136" s="54">
        <v>1</v>
      </c>
      <c r="X136" s="119">
        <v>400000</v>
      </c>
      <c r="Y136" s="54"/>
      <c r="Z136" s="54"/>
      <c r="AA136" s="54"/>
      <c r="AB136" s="119"/>
      <c r="AC136" s="54"/>
      <c r="AD136" s="54"/>
      <c r="AE136" s="54"/>
      <c r="AF136" s="119"/>
      <c r="AG136" s="54"/>
      <c r="AH136" s="54"/>
      <c r="AI136" s="54"/>
      <c r="AJ136" s="119"/>
      <c r="AK136" s="54"/>
      <c r="AL136" s="54"/>
      <c r="AM136" s="54"/>
      <c r="AN136" s="119"/>
      <c r="AO136" s="54"/>
      <c r="AP136" s="54"/>
      <c r="AQ136" s="54"/>
      <c r="AR136" s="119"/>
      <c r="AS136" s="54"/>
      <c r="AT136" s="54"/>
      <c r="AU136" s="54"/>
      <c r="AV136" s="119"/>
      <c r="AW136" s="54"/>
      <c r="AX136" s="54"/>
      <c r="AY136" s="47"/>
      <c r="AZ136" s="119"/>
      <c r="BA136" s="54"/>
      <c r="BB136" s="54"/>
      <c r="BC136" s="54"/>
      <c r="BD136" s="119"/>
      <c r="BE136" s="54"/>
      <c r="BF136" s="54"/>
      <c r="BG136" s="47">
        <v>1</v>
      </c>
      <c r="BH136" s="119">
        <v>300000</v>
      </c>
      <c r="BI136" s="54"/>
      <c r="BJ136" s="180"/>
    </row>
    <row r="137" spans="1:62" s="38" customFormat="1" ht="15" x14ac:dyDescent="0.25">
      <c r="A137" s="25"/>
      <c r="B137" s="205" t="s">
        <v>165</v>
      </c>
      <c r="C137" s="64">
        <f t="shared" si="54"/>
        <v>0</v>
      </c>
      <c r="D137" s="64">
        <f t="shared" si="55"/>
        <v>0</v>
      </c>
      <c r="E137" s="64">
        <f t="shared" si="56"/>
        <v>0</v>
      </c>
      <c r="F137" s="64">
        <f t="shared" si="57"/>
        <v>0</v>
      </c>
      <c r="G137" s="54"/>
      <c r="H137" s="119"/>
      <c r="I137" s="54"/>
      <c r="J137" s="54"/>
      <c r="K137" s="47"/>
      <c r="L137" s="47"/>
      <c r="M137" s="54"/>
      <c r="N137" s="54"/>
      <c r="O137" s="119"/>
      <c r="P137" s="54"/>
      <c r="Q137" s="54"/>
      <c r="R137" s="54"/>
      <c r="S137" s="54"/>
      <c r="T137" s="119"/>
      <c r="U137" s="54"/>
      <c r="V137" s="54"/>
      <c r="W137" s="54"/>
      <c r="X137" s="119"/>
      <c r="Y137" s="54"/>
      <c r="Z137" s="54"/>
      <c r="AA137" s="54"/>
      <c r="AB137" s="119"/>
      <c r="AC137" s="54"/>
      <c r="AD137" s="54"/>
      <c r="AE137" s="54"/>
      <c r="AF137" s="119"/>
      <c r="AG137" s="54"/>
      <c r="AH137" s="54"/>
      <c r="AI137" s="54"/>
      <c r="AJ137" s="119"/>
      <c r="AK137" s="54"/>
      <c r="AL137" s="54"/>
      <c r="AM137" s="54"/>
      <c r="AN137" s="119"/>
      <c r="AO137" s="54"/>
      <c r="AP137" s="54"/>
      <c r="AQ137" s="54"/>
      <c r="AR137" s="119"/>
      <c r="AS137" s="54"/>
      <c r="AT137" s="54"/>
      <c r="AU137" s="54"/>
      <c r="AV137" s="119"/>
      <c r="AW137" s="54"/>
      <c r="AX137" s="54"/>
      <c r="AY137" s="54"/>
      <c r="AZ137" s="119"/>
      <c r="BA137" s="54"/>
      <c r="BB137" s="54"/>
      <c r="BC137" s="54"/>
      <c r="BD137" s="119"/>
      <c r="BE137" s="54"/>
      <c r="BF137" s="54"/>
      <c r="BG137" s="47"/>
      <c r="BH137" s="119"/>
      <c r="BI137" s="54"/>
      <c r="BJ137" s="180"/>
    </row>
    <row r="138" spans="1:62" s="38" customFormat="1" ht="15" x14ac:dyDescent="0.25">
      <c r="A138" s="25"/>
      <c r="B138" s="205" t="s">
        <v>166</v>
      </c>
      <c r="C138" s="64">
        <f t="shared" si="54"/>
        <v>359</v>
      </c>
      <c r="D138" s="64">
        <f t="shared" si="55"/>
        <v>1142390</v>
      </c>
      <c r="E138" s="64">
        <f t="shared" si="56"/>
        <v>0</v>
      </c>
      <c r="F138" s="64">
        <f t="shared" si="57"/>
        <v>0</v>
      </c>
      <c r="G138" s="47">
        <v>17</v>
      </c>
      <c r="H138" s="119">
        <v>49400</v>
      </c>
      <c r="I138" s="54"/>
      <c r="J138" s="54"/>
      <c r="K138" s="54">
        <v>11</v>
      </c>
      <c r="L138" s="119">
        <v>28000</v>
      </c>
      <c r="M138" s="54"/>
      <c r="N138" s="54"/>
      <c r="O138" s="47">
        <v>19</v>
      </c>
      <c r="P138" s="47">
        <v>106000</v>
      </c>
      <c r="Q138" s="47"/>
      <c r="R138" s="54"/>
      <c r="S138" s="47">
        <v>25</v>
      </c>
      <c r="T138" s="119">
        <v>25750</v>
      </c>
      <c r="U138" s="54"/>
      <c r="V138" s="54"/>
      <c r="W138" s="47"/>
      <c r="X138" s="119"/>
      <c r="Y138" s="54"/>
      <c r="Z138" s="54"/>
      <c r="AA138" s="47">
        <v>23</v>
      </c>
      <c r="AB138" s="47">
        <v>66200</v>
      </c>
      <c r="AC138" s="54"/>
      <c r="AD138" s="54"/>
      <c r="AE138" s="47">
        <v>41</v>
      </c>
      <c r="AF138" s="119">
        <v>100000</v>
      </c>
      <c r="AG138" s="54"/>
      <c r="AH138" s="54"/>
      <c r="AI138" s="47">
        <v>17</v>
      </c>
      <c r="AJ138" s="119">
        <v>225500</v>
      </c>
      <c r="AK138" s="54"/>
      <c r="AL138" s="54"/>
      <c r="AM138" s="47">
        <v>20</v>
      </c>
      <c r="AN138" s="119">
        <v>78000</v>
      </c>
      <c r="AO138" s="54"/>
      <c r="AP138" s="54"/>
      <c r="AQ138" s="47">
        <v>18</v>
      </c>
      <c r="AR138" s="119">
        <v>72100</v>
      </c>
      <c r="AS138" s="54"/>
      <c r="AT138" s="54"/>
      <c r="AU138" s="47">
        <v>74</v>
      </c>
      <c r="AV138" s="119">
        <v>90000</v>
      </c>
      <c r="AW138" s="54"/>
      <c r="AX138" s="54"/>
      <c r="AY138" s="54">
        <v>80</v>
      </c>
      <c r="AZ138" s="119">
        <v>145440</v>
      </c>
      <c r="BA138" s="54"/>
      <c r="BB138" s="54"/>
      <c r="BC138" s="47">
        <v>9</v>
      </c>
      <c r="BD138" s="119">
        <v>56000</v>
      </c>
      <c r="BE138" s="54"/>
      <c r="BF138" s="54"/>
      <c r="BG138" s="47">
        <v>5</v>
      </c>
      <c r="BH138" s="119">
        <v>100000</v>
      </c>
      <c r="BI138" s="54"/>
      <c r="BJ138" s="180"/>
    </row>
    <row r="139" spans="1:62" s="38" customFormat="1" ht="25.5" x14ac:dyDescent="0.2">
      <c r="A139" s="25"/>
      <c r="B139" s="205" t="s">
        <v>167</v>
      </c>
      <c r="C139" s="64">
        <f t="shared" si="54"/>
        <v>0</v>
      </c>
      <c r="D139" s="64">
        <f t="shared" si="55"/>
        <v>0</v>
      </c>
      <c r="E139" s="64">
        <f t="shared" si="56"/>
        <v>0</v>
      </c>
      <c r="F139" s="64">
        <f t="shared" si="57"/>
        <v>0</v>
      </c>
      <c r="G139" s="54"/>
      <c r="H139" s="119"/>
      <c r="I139" s="54"/>
      <c r="J139" s="54"/>
      <c r="K139" s="54"/>
      <c r="L139" s="119"/>
      <c r="M139" s="54"/>
      <c r="N139" s="54"/>
      <c r="O139" s="119"/>
      <c r="P139" s="54"/>
      <c r="Q139" s="54"/>
      <c r="R139" s="54"/>
      <c r="S139" s="54"/>
      <c r="T139" s="119"/>
      <c r="U139" s="54"/>
      <c r="V139" s="54"/>
      <c r="W139" s="54"/>
      <c r="X139" s="119"/>
      <c r="Y139" s="54"/>
      <c r="Z139" s="54"/>
      <c r="AA139" s="54"/>
      <c r="AB139" s="119"/>
      <c r="AC139" s="54"/>
      <c r="AD139" s="54"/>
      <c r="AE139" s="54"/>
      <c r="AF139" s="119"/>
      <c r="AG139" s="54"/>
      <c r="AH139" s="54"/>
      <c r="AI139" s="54"/>
      <c r="AJ139" s="119"/>
      <c r="AK139" s="54"/>
      <c r="AL139" s="54"/>
      <c r="AM139" s="54"/>
      <c r="AN139" s="119"/>
      <c r="AO139" s="54"/>
      <c r="AP139" s="54"/>
      <c r="AQ139" s="54"/>
      <c r="AR139" s="119"/>
      <c r="AS139" s="54"/>
      <c r="AT139" s="54"/>
      <c r="AU139" s="54"/>
      <c r="AV139" s="119"/>
      <c r="AW139" s="54"/>
      <c r="AX139" s="54"/>
      <c r="AY139" s="54"/>
      <c r="AZ139" s="119"/>
      <c r="BA139" s="54"/>
      <c r="BB139" s="54"/>
      <c r="BC139" s="54"/>
      <c r="BD139" s="119"/>
      <c r="BE139" s="54"/>
      <c r="BF139" s="54"/>
      <c r="BG139" s="54"/>
      <c r="BH139" s="119"/>
      <c r="BI139" s="54"/>
      <c r="BJ139" s="180"/>
    </row>
    <row r="140" spans="1:62" s="38" customFormat="1" x14ac:dyDescent="0.2">
      <c r="A140" s="25"/>
      <c r="B140" s="40" t="s">
        <v>168</v>
      </c>
      <c r="C140" s="64">
        <f t="shared" si="54"/>
        <v>0</v>
      </c>
      <c r="D140" s="64">
        <f t="shared" si="55"/>
        <v>0</v>
      </c>
      <c r="E140" s="64">
        <f t="shared" si="56"/>
        <v>0</v>
      </c>
      <c r="F140" s="64">
        <f t="shared" si="57"/>
        <v>0</v>
      </c>
      <c r="G140" s="54"/>
      <c r="H140" s="119"/>
      <c r="I140" s="54"/>
      <c r="J140" s="54"/>
      <c r="K140" s="54"/>
      <c r="L140" s="119"/>
      <c r="M140" s="54"/>
      <c r="N140" s="54"/>
      <c r="O140" s="119"/>
      <c r="P140" s="54"/>
      <c r="Q140" s="54"/>
      <c r="R140" s="54"/>
      <c r="S140" s="54"/>
      <c r="T140" s="119"/>
      <c r="U140" s="54"/>
      <c r="V140" s="54"/>
      <c r="W140" s="54"/>
      <c r="X140" s="119"/>
      <c r="Y140" s="54"/>
      <c r="Z140" s="54"/>
      <c r="AA140" s="54"/>
      <c r="AB140" s="119"/>
      <c r="AC140" s="54"/>
      <c r="AD140" s="54"/>
      <c r="AE140" s="54"/>
      <c r="AF140" s="119"/>
      <c r="AG140" s="54"/>
      <c r="AH140" s="54"/>
      <c r="AI140" s="54"/>
      <c r="AJ140" s="119"/>
      <c r="AK140" s="54"/>
      <c r="AL140" s="54"/>
      <c r="AM140" s="54"/>
      <c r="AN140" s="119"/>
      <c r="AO140" s="54"/>
      <c r="AP140" s="54"/>
      <c r="AQ140" s="54"/>
      <c r="AR140" s="119"/>
      <c r="AS140" s="54"/>
      <c r="AT140" s="54"/>
      <c r="AU140" s="54"/>
      <c r="AV140" s="119"/>
      <c r="AW140" s="54"/>
      <c r="AX140" s="54"/>
      <c r="AY140" s="54"/>
      <c r="AZ140" s="119"/>
      <c r="BA140" s="54"/>
      <c r="BB140" s="54"/>
      <c r="BC140" s="54"/>
      <c r="BD140" s="119"/>
      <c r="BE140" s="54"/>
      <c r="BF140" s="54"/>
      <c r="BG140" s="54"/>
      <c r="BH140" s="119"/>
      <c r="BI140" s="54"/>
      <c r="BJ140" s="180"/>
    </row>
    <row r="141" spans="1:62" s="38" customFormat="1" ht="15" x14ac:dyDescent="0.25">
      <c r="A141" s="25"/>
      <c r="B141" s="40" t="s">
        <v>169</v>
      </c>
      <c r="C141" s="64">
        <f t="shared" si="54"/>
        <v>18</v>
      </c>
      <c r="D141" s="64">
        <f t="shared" si="55"/>
        <v>784680</v>
      </c>
      <c r="E141" s="64">
        <f t="shared" si="56"/>
        <v>0</v>
      </c>
      <c r="F141" s="64">
        <f t="shared" si="57"/>
        <v>0</v>
      </c>
      <c r="G141" s="47">
        <v>5</v>
      </c>
      <c r="H141" s="119">
        <v>55600</v>
      </c>
      <c r="I141" s="54"/>
      <c r="J141" s="54"/>
      <c r="K141" s="54"/>
      <c r="L141" s="119"/>
      <c r="M141" s="54"/>
      <c r="N141" s="54"/>
      <c r="O141" s="47">
        <v>1</v>
      </c>
      <c r="P141" s="47">
        <v>120000</v>
      </c>
      <c r="Q141" s="47"/>
      <c r="R141" s="54"/>
      <c r="S141" s="54">
        <v>3</v>
      </c>
      <c r="T141" s="119">
        <v>12900</v>
      </c>
      <c r="U141" s="54"/>
      <c r="V141" s="54"/>
      <c r="W141" s="47">
        <v>1</v>
      </c>
      <c r="X141" s="119">
        <v>190000</v>
      </c>
      <c r="Y141" s="54"/>
      <c r="Z141" s="54"/>
      <c r="AA141" s="54">
        <v>1</v>
      </c>
      <c r="AB141" s="119">
        <v>5000</v>
      </c>
      <c r="AC141" s="54"/>
      <c r="AD141" s="54"/>
      <c r="AE141" s="47"/>
      <c r="AF141" s="119"/>
      <c r="AG141" s="54"/>
      <c r="AH141" s="54"/>
      <c r="AI141" s="47">
        <v>1</v>
      </c>
      <c r="AJ141" s="119">
        <v>40000</v>
      </c>
      <c r="AK141" s="54"/>
      <c r="AL141" s="54"/>
      <c r="AM141" s="47"/>
      <c r="AN141" s="119"/>
      <c r="AO141" s="54"/>
      <c r="AP141" s="54"/>
      <c r="AQ141" s="47">
        <v>1</v>
      </c>
      <c r="AR141" s="119">
        <v>88000</v>
      </c>
      <c r="AS141" s="54"/>
      <c r="AT141" s="54"/>
      <c r="AU141" s="54">
        <v>1</v>
      </c>
      <c r="AV141" s="119">
        <v>54500</v>
      </c>
      <c r="AW141" s="54"/>
      <c r="AX141" s="54"/>
      <c r="AY141" s="47">
        <v>2</v>
      </c>
      <c r="AZ141" s="119">
        <v>18680</v>
      </c>
      <c r="BA141" s="54"/>
      <c r="BB141" s="54"/>
      <c r="BC141" s="54">
        <v>1</v>
      </c>
      <c r="BD141" s="119">
        <v>20000</v>
      </c>
      <c r="BE141" s="54"/>
      <c r="BF141" s="54"/>
      <c r="BG141" s="47">
        <v>1</v>
      </c>
      <c r="BH141" s="119">
        <v>180000</v>
      </c>
      <c r="BI141" s="54"/>
      <c r="BJ141" s="180"/>
    </row>
    <row r="142" spans="1:62" s="38" customFormat="1" ht="15" x14ac:dyDescent="0.25">
      <c r="A142" s="25"/>
      <c r="B142" s="40" t="s">
        <v>170</v>
      </c>
      <c r="C142" s="64">
        <f t="shared" si="54"/>
        <v>141</v>
      </c>
      <c r="D142" s="64">
        <f t="shared" si="55"/>
        <v>41450</v>
      </c>
      <c r="E142" s="64">
        <f t="shared" si="56"/>
        <v>0</v>
      </c>
      <c r="F142" s="64">
        <f t="shared" si="57"/>
        <v>0</v>
      </c>
      <c r="G142" s="47"/>
      <c r="H142" s="119"/>
      <c r="I142" s="54"/>
      <c r="J142" s="54"/>
      <c r="K142" s="54"/>
      <c r="L142" s="119"/>
      <c r="M142" s="54"/>
      <c r="N142" s="54"/>
      <c r="O142" s="54"/>
      <c r="P142" s="119"/>
      <c r="Q142" s="54"/>
      <c r="R142" s="54"/>
      <c r="S142" s="54"/>
      <c r="T142" s="119"/>
      <c r="U142" s="54"/>
      <c r="V142" s="54"/>
      <c r="W142" s="54">
        <v>10</v>
      </c>
      <c r="X142" s="119">
        <v>10000</v>
      </c>
      <c r="Y142" s="54"/>
      <c r="Z142" s="54"/>
      <c r="AA142" s="54">
        <v>1</v>
      </c>
      <c r="AB142" s="119">
        <v>15000</v>
      </c>
      <c r="AC142" s="54"/>
      <c r="AD142" s="54"/>
      <c r="AE142" s="47"/>
      <c r="AF142" s="119"/>
      <c r="AG142" s="54"/>
      <c r="AH142" s="54"/>
      <c r="AI142" s="54"/>
      <c r="AJ142" s="119"/>
      <c r="AK142" s="54"/>
      <c r="AL142" s="54"/>
      <c r="AM142" s="54"/>
      <c r="AN142" s="119"/>
      <c r="AO142" s="54"/>
      <c r="AP142" s="54"/>
      <c r="AQ142" s="54"/>
      <c r="AR142" s="119"/>
      <c r="AS142" s="54"/>
      <c r="AT142" s="54"/>
      <c r="AU142" s="54"/>
      <c r="AV142" s="119"/>
      <c r="AW142" s="54"/>
      <c r="AX142" s="54"/>
      <c r="AY142" s="47">
        <v>130</v>
      </c>
      <c r="AZ142" s="119">
        <v>16450</v>
      </c>
      <c r="BA142" s="54"/>
      <c r="BB142" s="54"/>
      <c r="BC142" s="54"/>
      <c r="BD142" s="119"/>
      <c r="BE142" s="54"/>
      <c r="BF142" s="54"/>
      <c r="BG142" s="54"/>
      <c r="BH142" s="119"/>
      <c r="BI142" s="54"/>
      <c r="BJ142" s="180"/>
    </row>
    <row r="143" spans="1:62" s="38" customFormat="1" ht="15" x14ac:dyDescent="0.25">
      <c r="A143" s="25"/>
      <c r="B143" s="40" t="s">
        <v>277</v>
      </c>
      <c r="C143" s="64"/>
      <c r="D143" s="64"/>
      <c r="E143" s="64"/>
      <c r="F143" s="64"/>
      <c r="G143" s="47"/>
      <c r="H143" s="119"/>
      <c r="I143" s="54"/>
      <c r="J143" s="54"/>
      <c r="K143" s="54"/>
      <c r="L143" s="119"/>
      <c r="M143" s="54"/>
      <c r="N143" s="54"/>
      <c r="O143" s="54"/>
      <c r="P143" s="119"/>
      <c r="Q143" s="54"/>
      <c r="R143" s="54"/>
      <c r="S143" s="54"/>
      <c r="T143" s="119"/>
      <c r="U143" s="54"/>
      <c r="V143" s="54"/>
      <c r="W143" s="54"/>
      <c r="X143" s="119"/>
      <c r="Y143" s="54"/>
      <c r="Z143" s="54"/>
      <c r="AA143" s="54"/>
      <c r="AB143" s="119"/>
      <c r="AC143" s="54"/>
      <c r="AD143" s="54"/>
      <c r="AE143" s="47"/>
      <c r="AF143" s="119"/>
      <c r="AG143" s="54"/>
      <c r="AH143" s="54"/>
      <c r="AI143" s="54"/>
      <c r="AJ143" s="119"/>
      <c r="AK143" s="54"/>
      <c r="AL143" s="54"/>
      <c r="AM143" s="54"/>
      <c r="AN143" s="119"/>
      <c r="AO143" s="54"/>
      <c r="AP143" s="54"/>
      <c r="AQ143" s="54"/>
      <c r="AR143" s="119"/>
      <c r="AS143" s="54"/>
      <c r="AT143" s="54"/>
      <c r="AU143" s="54"/>
      <c r="AV143" s="119"/>
      <c r="AW143" s="54"/>
      <c r="AX143" s="54"/>
      <c r="AY143" s="47"/>
      <c r="AZ143" s="119"/>
      <c r="BA143" s="54"/>
      <c r="BB143" s="54"/>
      <c r="BC143" s="54"/>
      <c r="BD143" s="119"/>
      <c r="BE143" s="54"/>
      <c r="BF143" s="54"/>
      <c r="BG143" s="54"/>
      <c r="BH143" s="119"/>
      <c r="BI143" s="54"/>
      <c r="BJ143" s="180"/>
    </row>
    <row r="144" spans="1:62" s="38" customFormat="1" ht="15" x14ac:dyDescent="0.25">
      <c r="A144" s="25"/>
      <c r="B144" s="40" t="s">
        <v>278</v>
      </c>
      <c r="C144" s="64"/>
      <c r="D144" s="64"/>
      <c r="E144" s="64"/>
      <c r="F144" s="64"/>
      <c r="G144" s="47"/>
      <c r="H144" s="119"/>
      <c r="I144" s="54"/>
      <c r="J144" s="54"/>
      <c r="K144" s="54"/>
      <c r="L144" s="119"/>
      <c r="M144" s="54"/>
      <c r="N144" s="54"/>
      <c r="O144" s="54"/>
      <c r="P144" s="119"/>
      <c r="Q144" s="54"/>
      <c r="R144" s="54"/>
      <c r="S144" s="54"/>
      <c r="T144" s="119"/>
      <c r="U144" s="54"/>
      <c r="V144" s="54"/>
      <c r="W144" s="54"/>
      <c r="X144" s="119"/>
      <c r="Y144" s="54"/>
      <c r="Z144" s="54"/>
      <c r="AA144" s="54"/>
      <c r="AB144" s="119"/>
      <c r="AC144" s="54"/>
      <c r="AD144" s="54"/>
      <c r="AE144" s="47"/>
      <c r="AF144" s="119"/>
      <c r="AG144" s="54"/>
      <c r="AH144" s="54"/>
      <c r="AI144" s="54"/>
      <c r="AJ144" s="119"/>
      <c r="AK144" s="54"/>
      <c r="AL144" s="54"/>
      <c r="AM144" s="54"/>
      <c r="AN144" s="119"/>
      <c r="AO144" s="54"/>
      <c r="AP144" s="54"/>
      <c r="AQ144" s="54"/>
      <c r="AR144" s="119"/>
      <c r="AS144" s="54"/>
      <c r="AT144" s="54"/>
      <c r="AU144" s="54"/>
      <c r="AV144" s="119"/>
      <c r="AW144" s="54"/>
      <c r="AX144" s="54"/>
      <c r="AY144" s="47"/>
      <c r="AZ144" s="119"/>
      <c r="BA144" s="54"/>
      <c r="BB144" s="54"/>
      <c r="BC144" s="54"/>
      <c r="BD144" s="119"/>
      <c r="BE144" s="54"/>
      <c r="BF144" s="54"/>
      <c r="BG144" s="54"/>
      <c r="BH144" s="119"/>
      <c r="BI144" s="54"/>
      <c r="BJ144" s="180"/>
    </row>
    <row r="145" spans="1:62" s="38" customFormat="1" ht="15" x14ac:dyDescent="0.25">
      <c r="A145" s="25"/>
      <c r="B145" s="40" t="s">
        <v>171</v>
      </c>
      <c r="C145" s="64">
        <f t="shared" si="54"/>
        <v>0</v>
      </c>
      <c r="D145" s="64">
        <f t="shared" si="55"/>
        <v>0</v>
      </c>
      <c r="E145" s="64">
        <f t="shared" si="56"/>
        <v>0</v>
      </c>
      <c r="F145" s="64">
        <f t="shared" si="57"/>
        <v>0</v>
      </c>
      <c r="G145" s="47"/>
      <c r="H145" s="119"/>
      <c r="I145" s="54"/>
      <c r="J145" s="54"/>
      <c r="K145" s="54"/>
      <c r="L145" s="119"/>
      <c r="M145" s="54"/>
      <c r="N145" s="54"/>
      <c r="O145" s="54"/>
      <c r="P145" s="119"/>
      <c r="Q145" s="54"/>
      <c r="R145" s="54"/>
      <c r="S145" s="54"/>
      <c r="T145" s="119"/>
      <c r="U145" s="54"/>
      <c r="V145" s="54"/>
      <c r="W145" s="54"/>
      <c r="X145" s="119"/>
      <c r="Y145" s="54"/>
      <c r="Z145" s="54"/>
      <c r="AA145" s="54"/>
      <c r="AB145" s="119"/>
      <c r="AC145" s="54"/>
      <c r="AD145" s="54"/>
      <c r="AE145" s="54"/>
      <c r="AF145" s="119"/>
      <c r="AG145" s="54"/>
      <c r="AH145" s="54"/>
      <c r="AI145" s="54"/>
      <c r="AJ145" s="119"/>
      <c r="AK145" s="54"/>
      <c r="AL145" s="54"/>
      <c r="AM145" s="54"/>
      <c r="AN145" s="119"/>
      <c r="AO145" s="54"/>
      <c r="AP145" s="54"/>
      <c r="AQ145" s="54"/>
      <c r="AR145" s="119"/>
      <c r="AS145" s="54"/>
      <c r="AT145" s="54"/>
      <c r="AU145" s="54"/>
      <c r="AV145" s="119"/>
      <c r="AW145" s="54"/>
      <c r="AX145" s="54"/>
      <c r="AY145" s="54"/>
      <c r="AZ145" s="119"/>
      <c r="BA145" s="54"/>
      <c r="BB145" s="54"/>
      <c r="BC145" s="54"/>
      <c r="BD145" s="119"/>
      <c r="BE145" s="54"/>
      <c r="BF145" s="54"/>
      <c r="BG145" s="54"/>
      <c r="BH145" s="119"/>
      <c r="BI145" s="54"/>
      <c r="BJ145" s="180"/>
    </row>
    <row r="146" spans="1:62" s="38" customFormat="1" x14ac:dyDescent="0.2">
      <c r="A146" s="25"/>
      <c r="B146" s="24" t="s">
        <v>172</v>
      </c>
      <c r="C146" s="64">
        <f t="shared" si="54"/>
        <v>2</v>
      </c>
      <c r="D146" s="64">
        <f t="shared" si="55"/>
        <v>15000</v>
      </c>
      <c r="E146" s="64">
        <f t="shared" si="56"/>
        <v>0</v>
      </c>
      <c r="F146" s="64">
        <f t="shared" si="57"/>
        <v>0</v>
      </c>
      <c r="G146" s="54"/>
      <c r="H146" s="119"/>
      <c r="I146" s="54"/>
      <c r="J146" s="54"/>
      <c r="K146" s="54">
        <v>1</v>
      </c>
      <c r="L146" s="119">
        <v>5000</v>
      </c>
      <c r="M146" s="54"/>
      <c r="N146" s="54"/>
      <c r="O146" s="54"/>
      <c r="P146" s="119"/>
      <c r="Q146" s="54"/>
      <c r="R146" s="54"/>
      <c r="S146" s="54"/>
      <c r="T146" s="119"/>
      <c r="U146" s="54"/>
      <c r="V146" s="54"/>
      <c r="W146" s="54"/>
      <c r="X146" s="119"/>
      <c r="Y146" s="54"/>
      <c r="Z146" s="54"/>
      <c r="AA146" s="54"/>
      <c r="AB146" s="119"/>
      <c r="AC146" s="54"/>
      <c r="AD146" s="54"/>
      <c r="AE146" s="54">
        <v>1</v>
      </c>
      <c r="AF146" s="119">
        <v>10000</v>
      </c>
      <c r="AG146" s="54"/>
      <c r="AH146" s="54"/>
      <c r="AI146" s="54"/>
      <c r="AJ146" s="119"/>
      <c r="AK146" s="54"/>
      <c r="AL146" s="54"/>
      <c r="AM146" s="54"/>
      <c r="AN146" s="119"/>
      <c r="AO146" s="54"/>
      <c r="AP146" s="54"/>
      <c r="AQ146" s="54"/>
      <c r="AR146" s="119"/>
      <c r="AS146" s="54"/>
      <c r="AT146" s="54"/>
      <c r="AU146" s="54"/>
      <c r="AV146" s="119"/>
      <c r="AW146" s="54"/>
      <c r="AX146" s="54"/>
      <c r="AY146" s="54"/>
      <c r="AZ146" s="119"/>
      <c r="BA146" s="54"/>
      <c r="BB146" s="54"/>
      <c r="BC146" s="54"/>
      <c r="BD146" s="119"/>
      <c r="BE146" s="54"/>
      <c r="BF146" s="54"/>
      <c r="BG146" s="54"/>
      <c r="BH146" s="119"/>
      <c r="BI146" s="54"/>
      <c r="BJ146" s="180"/>
    </row>
    <row r="147" spans="1:62" s="38" customFormat="1" ht="15" x14ac:dyDescent="0.25">
      <c r="A147" s="25"/>
      <c r="B147" s="40" t="s">
        <v>173</v>
      </c>
      <c r="C147" s="64">
        <f t="shared" si="54"/>
        <v>1</v>
      </c>
      <c r="D147" s="64">
        <f t="shared" si="55"/>
        <v>1000</v>
      </c>
      <c r="E147" s="64">
        <f t="shared" si="56"/>
        <v>0</v>
      </c>
      <c r="F147" s="64">
        <f t="shared" si="57"/>
        <v>0</v>
      </c>
      <c r="G147" s="54"/>
      <c r="H147" s="119"/>
      <c r="I147" s="54"/>
      <c r="J147" s="54"/>
      <c r="K147" s="54"/>
      <c r="L147" s="119"/>
      <c r="M147" s="54"/>
      <c r="N147" s="54"/>
      <c r="O147" s="54"/>
      <c r="P147" s="119"/>
      <c r="Q147" s="54"/>
      <c r="R147" s="54"/>
      <c r="S147" s="54"/>
      <c r="T147" s="119"/>
      <c r="U147" s="54"/>
      <c r="V147" s="54"/>
      <c r="W147" s="54"/>
      <c r="X147" s="119"/>
      <c r="Y147" s="54"/>
      <c r="Z147" s="54"/>
      <c r="AA147" s="47"/>
      <c r="AB147" s="47"/>
      <c r="AC147" s="54"/>
      <c r="AD147" s="54"/>
      <c r="AE147" s="54"/>
      <c r="AF147" s="119"/>
      <c r="AG147" s="54"/>
      <c r="AH147" s="54"/>
      <c r="AI147" s="54"/>
      <c r="AJ147" s="119"/>
      <c r="AK147" s="54"/>
      <c r="AL147" s="54"/>
      <c r="AM147" s="54"/>
      <c r="AN147" s="119"/>
      <c r="AO147" s="54"/>
      <c r="AP147" s="54"/>
      <c r="AQ147" s="54"/>
      <c r="AR147" s="119"/>
      <c r="AS147" s="54"/>
      <c r="AT147" s="54"/>
      <c r="AU147" s="54"/>
      <c r="AV147" s="119"/>
      <c r="AW147" s="54"/>
      <c r="AX147" s="54"/>
      <c r="AY147" s="54"/>
      <c r="AZ147" s="119"/>
      <c r="BA147" s="54"/>
      <c r="BB147" s="54"/>
      <c r="BC147" s="47">
        <v>1</v>
      </c>
      <c r="BD147" s="119">
        <v>1000</v>
      </c>
      <c r="BE147" s="54"/>
      <c r="BF147" s="54"/>
      <c r="BG147" s="54"/>
      <c r="BH147" s="119"/>
      <c r="BI147" s="54"/>
      <c r="BJ147" s="180"/>
    </row>
    <row r="148" spans="1:62" s="38" customFormat="1" ht="15" x14ac:dyDescent="0.25">
      <c r="A148" s="25"/>
      <c r="B148" s="40" t="s">
        <v>174</v>
      </c>
      <c r="C148" s="64">
        <f t="shared" si="54"/>
        <v>4</v>
      </c>
      <c r="D148" s="64">
        <f t="shared" si="55"/>
        <v>38000</v>
      </c>
      <c r="E148" s="64">
        <f t="shared" si="56"/>
        <v>0</v>
      </c>
      <c r="F148" s="64">
        <f t="shared" si="57"/>
        <v>0</v>
      </c>
      <c r="G148" s="54"/>
      <c r="H148" s="119"/>
      <c r="I148" s="54"/>
      <c r="J148" s="54"/>
      <c r="K148" s="54">
        <v>1</v>
      </c>
      <c r="L148" s="119">
        <v>10000</v>
      </c>
      <c r="M148" s="54"/>
      <c r="N148" s="54"/>
      <c r="O148" s="54">
        <v>1</v>
      </c>
      <c r="P148" s="119">
        <v>8000</v>
      </c>
      <c r="Q148" s="54"/>
      <c r="R148" s="54"/>
      <c r="S148" s="47"/>
      <c r="T148" s="119"/>
      <c r="U148" s="54"/>
      <c r="V148" s="54"/>
      <c r="W148" s="54"/>
      <c r="X148" s="119"/>
      <c r="Y148" s="54"/>
      <c r="Z148" s="54"/>
      <c r="AA148" s="54"/>
      <c r="AB148" s="119"/>
      <c r="AC148" s="54"/>
      <c r="AD148" s="54"/>
      <c r="AE148" s="54">
        <v>2</v>
      </c>
      <c r="AF148" s="119">
        <v>20000</v>
      </c>
      <c r="AG148" s="54"/>
      <c r="AH148" s="54"/>
      <c r="AI148" s="54"/>
      <c r="AJ148" s="119"/>
      <c r="AK148" s="54"/>
      <c r="AL148" s="54"/>
      <c r="AM148" s="54"/>
      <c r="AN148" s="119"/>
      <c r="AO148" s="54"/>
      <c r="AP148" s="54"/>
      <c r="AQ148" s="54"/>
      <c r="AR148" s="119"/>
      <c r="AS148" s="54"/>
      <c r="AT148" s="54"/>
      <c r="AU148" s="54"/>
      <c r="AV148" s="119"/>
      <c r="AW148" s="54"/>
      <c r="AX148" s="54"/>
      <c r="AY148" s="54"/>
      <c r="AZ148" s="119"/>
      <c r="BA148" s="54"/>
      <c r="BB148" s="54"/>
      <c r="BC148" s="54"/>
      <c r="BD148" s="119"/>
      <c r="BE148" s="54"/>
      <c r="BF148" s="54"/>
      <c r="BG148" s="54"/>
      <c r="BH148" s="119"/>
      <c r="BI148" s="54"/>
      <c r="BJ148" s="180"/>
    </row>
    <row r="149" spans="1:62" s="38" customFormat="1" ht="15" x14ac:dyDescent="0.25">
      <c r="A149" s="25"/>
      <c r="B149" s="40" t="s">
        <v>175</v>
      </c>
      <c r="C149" s="64">
        <f t="shared" ref="C149:F151" si="58">G149+K149+O149+S149+W149+AA149+AE149+AI149+AM149+AQ149+AU149+AY149+BC149+BG149</f>
        <v>14</v>
      </c>
      <c r="D149" s="64">
        <f t="shared" si="58"/>
        <v>665000</v>
      </c>
      <c r="E149" s="64">
        <f t="shared" si="58"/>
        <v>0</v>
      </c>
      <c r="F149" s="64">
        <f t="shared" si="58"/>
        <v>0</v>
      </c>
      <c r="G149" s="54"/>
      <c r="H149" s="119"/>
      <c r="I149" s="54"/>
      <c r="J149" s="54"/>
      <c r="K149" s="54">
        <v>8</v>
      </c>
      <c r="L149" s="119">
        <v>16000</v>
      </c>
      <c r="M149" s="54"/>
      <c r="N149" s="54"/>
      <c r="O149" s="54"/>
      <c r="P149" s="119"/>
      <c r="Q149" s="54"/>
      <c r="R149" s="54"/>
      <c r="S149" s="54"/>
      <c r="T149" s="119"/>
      <c r="U149" s="54"/>
      <c r="V149" s="54"/>
      <c r="W149" s="47">
        <v>1</v>
      </c>
      <c r="X149" s="119">
        <v>300000</v>
      </c>
      <c r="Y149" s="54"/>
      <c r="Z149" s="54"/>
      <c r="AA149" s="47"/>
      <c r="AB149" s="47"/>
      <c r="AC149" s="54"/>
      <c r="AD149" s="54"/>
      <c r="AE149" s="54"/>
      <c r="AF149" s="119"/>
      <c r="AG149" s="54"/>
      <c r="AH149" s="54"/>
      <c r="AI149" s="47">
        <v>2</v>
      </c>
      <c r="AJ149" s="119">
        <v>190000</v>
      </c>
      <c r="AK149" s="54"/>
      <c r="AL149" s="54"/>
      <c r="AM149" s="47"/>
      <c r="AN149" s="119"/>
      <c r="AO149" s="54"/>
      <c r="AP149" s="54"/>
      <c r="AQ149" s="54">
        <v>1</v>
      </c>
      <c r="AR149" s="119">
        <v>59000</v>
      </c>
      <c r="AS149" s="54"/>
      <c r="AT149" s="54"/>
      <c r="AU149" s="54">
        <v>1</v>
      </c>
      <c r="AV149" s="119">
        <v>20000</v>
      </c>
      <c r="AW149" s="54"/>
      <c r="AX149" s="54"/>
      <c r="AY149" s="54"/>
      <c r="AZ149" s="119"/>
      <c r="BA149" s="54"/>
      <c r="BB149" s="54"/>
      <c r="BC149" s="54"/>
      <c r="BD149" s="119"/>
      <c r="BE149" s="54"/>
      <c r="BF149" s="54"/>
      <c r="BG149" s="47">
        <v>1</v>
      </c>
      <c r="BH149" s="119">
        <v>80000</v>
      </c>
      <c r="BI149" s="54"/>
      <c r="BJ149" s="180"/>
    </row>
    <row r="150" spans="1:62" s="38" customFormat="1" ht="27.75" customHeight="1" x14ac:dyDescent="0.2">
      <c r="A150" s="25"/>
      <c r="B150" s="40" t="s">
        <v>176</v>
      </c>
      <c r="C150" s="64">
        <f t="shared" si="58"/>
        <v>0</v>
      </c>
      <c r="D150" s="64">
        <f t="shared" si="58"/>
        <v>0</v>
      </c>
      <c r="E150" s="64">
        <f t="shared" si="58"/>
        <v>0</v>
      </c>
      <c r="F150" s="64">
        <f t="shared" si="58"/>
        <v>0</v>
      </c>
      <c r="G150" s="54"/>
      <c r="H150" s="119"/>
      <c r="I150" s="54"/>
      <c r="J150" s="54"/>
      <c r="K150" s="54"/>
      <c r="L150" s="119"/>
      <c r="M150" s="54"/>
      <c r="N150" s="54"/>
      <c r="O150" s="54"/>
      <c r="P150" s="119"/>
      <c r="Q150" s="54"/>
      <c r="R150" s="54"/>
      <c r="S150" s="54"/>
      <c r="T150" s="119"/>
      <c r="U150" s="54"/>
      <c r="V150" s="54"/>
      <c r="W150" s="54"/>
      <c r="X150" s="119"/>
      <c r="Y150" s="54"/>
      <c r="Z150" s="54"/>
      <c r="AA150" s="54"/>
      <c r="AB150" s="119"/>
      <c r="AC150" s="54"/>
      <c r="AD150" s="54"/>
      <c r="AE150" s="54"/>
      <c r="AF150" s="119"/>
      <c r="AG150" s="54"/>
      <c r="AH150" s="54"/>
      <c r="AI150" s="54"/>
      <c r="AJ150" s="119"/>
      <c r="AK150" s="54"/>
      <c r="AL150" s="54"/>
      <c r="AM150" s="54"/>
      <c r="AN150" s="119"/>
      <c r="AO150" s="54"/>
      <c r="AP150" s="54"/>
      <c r="AQ150" s="54"/>
      <c r="AR150" s="119"/>
      <c r="AS150" s="54"/>
      <c r="AT150" s="54"/>
      <c r="AU150" s="54"/>
      <c r="AV150" s="119"/>
      <c r="AW150" s="54"/>
      <c r="AX150" s="54"/>
      <c r="AY150" s="54"/>
      <c r="AZ150" s="119"/>
      <c r="BA150" s="54"/>
      <c r="BB150" s="54"/>
      <c r="BC150" s="54"/>
      <c r="BD150" s="119"/>
      <c r="BE150" s="54"/>
      <c r="BF150" s="54"/>
      <c r="BG150" s="54"/>
      <c r="BH150" s="119"/>
      <c r="BI150" s="54"/>
      <c r="BJ150" s="180"/>
    </row>
    <row r="151" spans="1:62" s="38" customFormat="1" x14ac:dyDescent="0.2">
      <c r="A151" s="25"/>
      <c r="B151" s="321" t="s">
        <v>177</v>
      </c>
      <c r="C151" s="64">
        <f t="shared" si="58"/>
        <v>0</v>
      </c>
      <c r="D151" s="64">
        <f t="shared" si="58"/>
        <v>0</v>
      </c>
      <c r="E151" s="64">
        <f t="shared" si="58"/>
        <v>0</v>
      </c>
      <c r="F151" s="64">
        <f t="shared" si="58"/>
        <v>0</v>
      </c>
      <c r="G151" s="54"/>
      <c r="H151" s="119"/>
      <c r="I151" s="54"/>
      <c r="J151" s="54"/>
      <c r="K151" s="54"/>
      <c r="L151" s="119"/>
      <c r="M151" s="54"/>
      <c r="N151" s="54"/>
      <c r="O151" s="54"/>
      <c r="P151" s="119"/>
      <c r="Q151" s="54"/>
      <c r="R151" s="54"/>
      <c r="S151" s="54"/>
      <c r="T151" s="119"/>
      <c r="U151" s="54"/>
      <c r="V151" s="54"/>
      <c r="W151" s="54"/>
      <c r="X151" s="119"/>
      <c r="Y151" s="54"/>
      <c r="Z151" s="54"/>
      <c r="AA151" s="54"/>
      <c r="AB151" s="119"/>
      <c r="AC151" s="54"/>
      <c r="AD151" s="54"/>
      <c r="AE151" s="54"/>
      <c r="AF151" s="119"/>
      <c r="AG151" s="54"/>
      <c r="AH151" s="54"/>
      <c r="AI151" s="54"/>
      <c r="AJ151" s="119"/>
      <c r="AK151" s="54"/>
      <c r="AL151" s="54"/>
      <c r="AM151" s="54"/>
      <c r="AN151" s="119"/>
      <c r="AO151" s="54"/>
      <c r="AP151" s="54"/>
      <c r="AQ151" s="54"/>
      <c r="AR151" s="119"/>
      <c r="AS151" s="54"/>
      <c r="AT151" s="54"/>
      <c r="AU151" s="54"/>
      <c r="AV151" s="119"/>
      <c r="AW151" s="54"/>
      <c r="AX151" s="54"/>
      <c r="AY151" s="54"/>
      <c r="AZ151" s="119"/>
      <c r="BA151" s="54"/>
      <c r="BB151" s="54"/>
      <c r="BC151" s="54"/>
      <c r="BD151" s="119"/>
      <c r="BE151" s="54"/>
      <c r="BF151" s="54"/>
      <c r="BG151" s="54"/>
      <c r="BH151" s="119"/>
      <c r="BI151" s="54"/>
      <c r="BJ151" s="180"/>
    </row>
    <row r="152" spans="1:62" s="38" customFormat="1" ht="25.5" x14ac:dyDescent="0.2">
      <c r="A152" s="25"/>
      <c r="B152" s="144" t="s">
        <v>178</v>
      </c>
      <c r="C152" s="64"/>
      <c r="D152" s="64"/>
      <c r="E152" s="64"/>
      <c r="F152" s="64"/>
      <c r="G152" s="54"/>
      <c r="H152" s="119"/>
      <c r="I152" s="54"/>
      <c r="J152" s="54"/>
      <c r="K152" s="54"/>
      <c r="L152" s="119"/>
      <c r="M152" s="54"/>
      <c r="N152" s="54"/>
      <c r="O152" s="54"/>
      <c r="P152" s="119"/>
      <c r="Q152" s="54"/>
      <c r="R152" s="54"/>
      <c r="S152" s="54"/>
      <c r="T152" s="119"/>
      <c r="U152" s="54"/>
      <c r="V152" s="54"/>
      <c r="W152" s="54"/>
      <c r="X152" s="119"/>
      <c r="Y152" s="54"/>
      <c r="Z152" s="54"/>
      <c r="AA152" s="54"/>
      <c r="AB152" s="119"/>
      <c r="AC152" s="54"/>
      <c r="AD152" s="54"/>
      <c r="AE152" s="54"/>
      <c r="AF152" s="119"/>
      <c r="AG152" s="54"/>
      <c r="AH152" s="54"/>
      <c r="AI152" s="54"/>
      <c r="AJ152" s="119"/>
      <c r="AK152" s="54"/>
      <c r="AL152" s="54"/>
      <c r="AM152" s="54"/>
      <c r="AN152" s="119"/>
      <c r="AO152" s="54"/>
      <c r="AP152" s="54"/>
      <c r="AQ152" s="54"/>
      <c r="AR152" s="119"/>
      <c r="AS152" s="54"/>
      <c r="AT152" s="54"/>
      <c r="AU152" s="54"/>
      <c r="AV152" s="119"/>
      <c r="AW152" s="54"/>
      <c r="AX152" s="54"/>
      <c r="AY152" s="54"/>
      <c r="AZ152" s="119"/>
      <c r="BA152" s="54"/>
      <c r="BB152" s="54"/>
      <c r="BC152" s="54"/>
      <c r="BD152" s="119"/>
      <c r="BE152" s="54"/>
      <c r="BF152" s="54"/>
      <c r="BG152" s="54"/>
      <c r="BH152" s="119"/>
      <c r="BI152" s="54"/>
      <c r="BJ152" s="180"/>
    </row>
    <row r="153" spans="1:62" s="38" customFormat="1" x14ac:dyDescent="0.2">
      <c r="A153" s="25"/>
      <c r="B153" s="319" t="s">
        <v>179</v>
      </c>
      <c r="C153" s="64">
        <f t="shared" ref="C153:F154" si="59">G153+K153+O153+S153+W153+AA153+AE153+AI153+AM153+AQ153+AU153+AY153+BC153+BG153</f>
        <v>0</v>
      </c>
      <c r="D153" s="64">
        <f t="shared" si="59"/>
        <v>0</v>
      </c>
      <c r="E153" s="64">
        <f t="shared" si="59"/>
        <v>0</v>
      </c>
      <c r="F153" s="64">
        <f t="shared" si="59"/>
        <v>0</v>
      </c>
      <c r="G153" s="54"/>
      <c r="H153" s="119"/>
      <c r="I153" s="54"/>
      <c r="J153" s="54"/>
      <c r="K153" s="54"/>
      <c r="L153" s="119"/>
      <c r="M153" s="54"/>
      <c r="N153" s="54"/>
      <c r="O153" s="54"/>
      <c r="P153" s="119"/>
      <c r="Q153" s="54"/>
      <c r="R153" s="54"/>
      <c r="S153" s="54"/>
      <c r="T153" s="119"/>
      <c r="U153" s="54"/>
      <c r="V153" s="54"/>
      <c r="W153" s="54"/>
      <c r="X153" s="119"/>
      <c r="Y153" s="54"/>
      <c r="Z153" s="54"/>
      <c r="AA153" s="54"/>
      <c r="AB153" s="119"/>
      <c r="AC153" s="54"/>
      <c r="AD153" s="54"/>
      <c r="AE153" s="54"/>
      <c r="AF153" s="119"/>
      <c r="AG153" s="54"/>
      <c r="AH153" s="54"/>
      <c r="AI153" s="54"/>
      <c r="AJ153" s="119"/>
      <c r="AK153" s="54"/>
      <c r="AL153" s="54"/>
      <c r="AM153" s="54"/>
      <c r="AN153" s="119"/>
      <c r="AO153" s="54"/>
      <c r="AP153" s="54"/>
      <c r="AQ153" s="54"/>
      <c r="AR153" s="119"/>
      <c r="AS153" s="54"/>
      <c r="AT153" s="54"/>
      <c r="AU153" s="54"/>
      <c r="AV153" s="119"/>
      <c r="AW153" s="54"/>
      <c r="AX153" s="54"/>
      <c r="AY153" s="54"/>
      <c r="AZ153" s="119"/>
      <c r="BA153" s="54"/>
      <c r="BB153" s="54"/>
      <c r="BC153" s="54"/>
      <c r="BD153" s="119"/>
      <c r="BE153" s="54"/>
      <c r="BF153" s="54"/>
      <c r="BG153" s="54"/>
      <c r="BH153" s="119"/>
      <c r="BI153" s="54"/>
      <c r="BJ153" s="180"/>
    </row>
    <row r="154" spans="1:62" s="38" customFormat="1" ht="25.5" x14ac:dyDescent="0.2">
      <c r="A154" s="25"/>
      <c r="B154" s="24" t="s">
        <v>180</v>
      </c>
      <c r="C154" s="64">
        <f t="shared" si="59"/>
        <v>0</v>
      </c>
      <c r="D154" s="64">
        <f t="shared" si="59"/>
        <v>0</v>
      </c>
      <c r="E154" s="64">
        <f t="shared" si="59"/>
        <v>0</v>
      </c>
      <c r="F154" s="64">
        <f t="shared" si="59"/>
        <v>0</v>
      </c>
      <c r="G154" s="54"/>
      <c r="H154" s="119"/>
      <c r="I154" s="54"/>
      <c r="J154" s="54"/>
      <c r="K154" s="54"/>
      <c r="L154" s="119"/>
      <c r="M154" s="54"/>
      <c r="N154" s="54"/>
      <c r="O154" s="54"/>
      <c r="P154" s="119"/>
      <c r="Q154" s="54"/>
      <c r="R154" s="54"/>
      <c r="S154" s="54"/>
      <c r="T154" s="119"/>
      <c r="U154" s="54"/>
      <c r="V154" s="54"/>
      <c r="W154" s="54"/>
      <c r="X154" s="119"/>
      <c r="Y154" s="54"/>
      <c r="Z154" s="54"/>
      <c r="AA154" s="54"/>
      <c r="AB154" s="119"/>
      <c r="AC154" s="54"/>
      <c r="AD154" s="54"/>
      <c r="AE154" s="54"/>
      <c r="AF154" s="119"/>
      <c r="AG154" s="54"/>
      <c r="AH154" s="54"/>
      <c r="AI154" s="54"/>
      <c r="AJ154" s="119"/>
      <c r="AK154" s="54"/>
      <c r="AL154" s="54"/>
      <c r="AM154" s="54"/>
      <c r="AN154" s="119"/>
      <c r="AO154" s="54"/>
      <c r="AP154" s="54"/>
      <c r="AQ154" s="54"/>
      <c r="AR154" s="119"/>
      <c r="AS154" s="54"/>
      <c r="AT154" s="54"/>
      <c r="AU154" s="54"/>
      <c r="AV154" s="119"/>
      <c r="AW154" s="54"/>
      <c r="AX154" s="54"/>
      <c r="AY154" s="54"/>
      <c r="AZ154" s="119"/>
      <c r="BA154" s="54"/>
      <c r="BB154" s="54"/>
      <c r="BC154" s="54"/>
      <c r="BD154" s="119"/>
      <c r="BE154" s="54"/>
      <c r="BF154" s="54"/>
      <c r="BG154" s="54"/>
      <c r="BH154" s="119"/>
      <c r="BI154" s="54"/>
      <c r="BJ154" s="180"/>
    </row>
    <row r="155" spans="1:62" s="38" customFormat="1" x14ac:dyDescent="0.2">
      <c r="A155" s="25"/>
      <c r="B155" s="24" t="s">
        <v>181</v>
      </c>
      <c r="C155" s="64"/>
      <c r="D155" s="64"/>
      <c r="E155" s="64"/>
      <c r="F155" s="64"/>
      <c r="G155" s="54"/>
      <c r="H155" s="119"/>
      <c r="I155" s="54"/>
      <c r="J155" s="54"/>
      <c r="K155" s="54"/>
      <c r="L155" s="119"/>
      <c r="M155" s="54"/>
      <c r="N155" s="54"/>
      <c r="O155" s="54"/>
      <c r="P155" s="119"/>
      <c r="Q155" s="54"/>
      <c r="R155" s="54"/>
      <c r="S155" s="54"/>
      <c r="T155" s="119"/>
      <c r="U155" s="54"/>
      <c r="V155" s="54"/>
      <c r="W155" s="54"/>
      <c r="X155" s="119"/>
      <c r="Y155" s="54"/>
      <c r="Z155" s="54"/>
      <c r="AA155" s="54"/>
      <c r="AB155" s="119"/>
      <c r="AC155" s="54"/>
      <c r="AD155" s="54"/>
      <c r="AE155" s="54"/>
      <c r="AF155" s="119"/>
      <c r="AG155" s="54"/>
      <c r="AH155" s="54"/>
      <c r="AI155" s="54"/>
      <c r="AJ155" s="119"/>
      <c r="AK155" s="54"/>
      <c r="AL155" s="54"/>
      <c r="AM155" s="54"/>
      <c r="AN155" s="119"/>
      <c r="AO155" s="54"/>
      <c r="AP155" s="54"/>
      <c r="AQ155" s="54"/>
      <c r="AR155" s="119"/>
      <c r="AS155" s="54"/>
      <c r="AT155" s="54"/>
      <c r="AU155" s="54"/>
      <c r="AV155" s="119"/>
      <c r="AW155" s="54"/>
      <c r="AX155" s="54"/>
      <c r="AY155" s="54"/>
      <c r="AZ155" s="119"/>
      <c r="BA155" s="54"/>
      <c r="BB155" s="54"/>
      <c r="BC155" s="54"/>
      <c r="BD155" s="119"/>
      <c r="BE155" s="54"/>
      <c r="BF155" s="54"/>
      <c r="BG155" s="54"/>
      <c r="BH155" s="119"/>
      <c r="BI155" s="54"/>
      <c r="BJ155" s="180"/>
    </row>
    <row r="156" spans="1:62" s="38" customFormat="1" ht="25.5" x14ac:dyDescent="0.2">
      <c r="A156" s="25"/>
      <c r="B156" s="24" t="s">
        <v>182</v>
      </c>
      <c r="C156" s="64">
        <f>G156+K156+O156+S156+W156+AA156+AE156+AI156+AM156+AQ156+AU156+AY156+BC156+BG156</f>
        <v>0</v>
      </c>
      <c r="D156" s="64">
        <f>H156+L156+P156+T156+X156+AB156+AF156+AJ156+AN156+AR156+AV156+AZ156+BD156+BH156</f>
        <v>0</v>
      </c>
      <c r="E156" s="64">
        <f>I156+M156+Q156+U156+Y156+AC156+AG156+AK156+AO156+AS156+AW156+BA156+BE156+BI156</f>
        <v>0</v>
      </c>
      <c r="F156" s="64">
        <f>J156+N156+R156+V156+Z156+AD156+AH156+AL156+AP156+AT156+AX156+BB156+BF156+BJ156</f>
        <v>0</v>
      </c>
      <c r="G156" s="54"/>
      <c r="H156" s="119"/>
      <c r="I156" s="54"/>
      <c r="J156" s="54"/>
      <c r="K156" s="54"/>
      <c r="L156" s="119"/>
      <c r="M156" s="54"/>
      <c r="N156" s="54"/>
      <c r="O156" s="54"/>
      <c r="P156" s="119"/>
      <c r="Q156" s="54"/>
      <c r="R156" s="54"/>
      <c r="S156" s="54"/>
      <c r="T156" s="119"/>
      <c r="U156" s="54"/>
      <c r="V156" s="54"/>
      <c r="W156" s="54"/>
      <c r="X156" s="119"/>
      <c r="Y156" s="54"/>
      <c r="Z156" s="54"/>
      <c r="AA156" s="54"/>
      <c r="AB156" s="119"/>
      <c r="AC156" s="54"/>
      <c r="AD156" s="54"/>
      <c r="AE156" s="54"/>
      <c r="AF156" s="119"/>
      <c r="AG156" s="54"/>
      <c r="AH156" s="54"/>
      <c r="AI156" s="54"/>
      <c r="AJ156" s="119"/>
      <c r="AK156" s="54"/>
      <c r="AL156" s="54"/>
      <c r="AM156" s="54"/>
      <c r="AN156" s="119"/>
      <c r="AO156" s="54"/>
      <c r="AP156" s="54"/>
      <c r="AQ156" s="54"/>
      <c r="AR156" s="119"/>
      <c r="AS156" s="54"/>
      <c r="AT156" s="54"/>
      <c r="AU156" s="54"/>
      <c r="AV156" s="119"/>
      <c r="AW156" s="54"/>
      <c r="AX156" s="54"/>
      <c r="AY156" s="54"/>
      <c r="AZ156" s="119"/>
      <c r="BA156" s="54"/>
      <c r="BB156" s="54"/>
      <c r="BC156" s="54"/>
      <c r="BD156" s="119"/>
      <c r="BE156" s="54"/>
      <c r="BF156" s="54"/>
      <c r="BG156" s="54"/>
      <c r="BH156" s="119"/>
      <c r="BI156" s="54"/>
      <c r="BJ156" s="180"/>
    </row>
    <row r="157" spans="1:62" s="38" customFormat="1" x14ac:dyDescent="0.2">
      <c r="A157" s="25"/>
      <c r="B157" s="24" t="s">
        <v>183</v>
      </c>
      <c r="C157" s="64">
        <f t="shared" ref="C157:C162" si="60">G157+K157+O157+S157+W157+AA157+AE157+AI157+AM157+AQ157+AU157+AY157+BC157+BG157</f>
        <v>0</v>
      </c>
      <c r="D157" s="64">
        <f t="shared" ref="D157:F162" si="61">H157+L157+P157+T157+X157+AB157+AF157+AJ157+AN157+AR157+AV157+AZ157+BD157+BH157</f>
        <v>0</v>
      </c>
      <c r="E157" s="64">
        <f t="shared" si="61"/>
        <v>0</v>
      </c>
      <c r="F157" s="64">
        <f t="shared" si="61"/>
        <v>0</v>
      </c>
      <c r="G157" s="54"/>
      <c r="H157" s="119"/>
      <c r="I157" s="54"/>
      <c r="J157" s="54"/>
      <c r="K157" s="54"/>
      <c r="L157" s="119"/>
      <c r="M157" s="54"/>
      <c r="N157" s="54"/>
      <c r="O157" s="54"/>
      <c r="P157" s="119"/>
      <c r="Q157" s="54"/>
      <c r="R157" s="54"/>
      <c r="S157" s="54"/>
      <c r="T157" s="119"/>
      <c r="U157" s="54"/>
      <c r="V157" s="54"/>
      <c r="W157" s="54"/>
      <c r="X157" s="119"/>
      <c r="Y157" s="54"/>
      <c r="Z157" s="54"/>
      <c r="AA157" s="54"/>
      <c r="AB157" s="119"/>
      <c r="AC157" s="54"/>
      <c r="AD157" s="54"/>
      <c r="AE157" s="54"/>
      <c r="AF157" s="119"/>
      <c r="AG157" s="54"/>
      <c r="AH157" s="54"/>
      <c r="AI157" s="54"/>
      <c r="AJ157" s="119"/>
      <c r="AK157" s="54"/>
      <c r="AL157" s="54"/>
      <c r="AM157" s="54"/>
      <c r="AN157" s="119"/>
      <c r="AO157" s="54"/>
      <c r="AP157" s="54"/>
      <c r="AQ157" s="54"/>
      <c r="AR157" s="119"/>
      <c r="AS157" s="54"/>
      <c r="AT157" s="54"/>
      <c r="AU157" s="54"/>
      <c r="AV157" s="119"/>
      <c r="AW157" s="54"/>
      <c r="AX157" s="54"/>
      <c r="AY157" s="54"/>
      <c r="AZ157" s="119"/>
      <c r="BA157" s="54"/>
      <c r="BB157" s="54"/>
      <c r="BC157" s="54"/>
      <c r="BD157" s="119"/>
      <c r="BE157" s="54"/>
      <c r="BF157" s="54"/>
      <c r="BG157" s="54"/>
      <c r="BH157" s="119"/>
      <c r="BI157" s="54"/>
      <c r="BJ157" s="180"/>
    </row>
    <row r="158" spans="1:62" s="38" customFormat="1" ht="25.5" x14ac:dyDescent="0.2">
      <c r="A158" s="25"/>
      <c r="B158" s="24" t="s">
        <v>184</v>
      </c>
      <c r="C158" s="64">
        <f t="shared" si="60"/>
        <v>0</v>
      </c>
      <c r="D158" s="64">
        <f t="shared" si="61"/>
        <v>0</v>
      </c>
      <c r="E158" s="64">
        <f t="shared" si="61"/>
        <v>0</v>
      </c>
      <c r="F158" s="64">
        <f t="shared" si="61"/>
        <v>0</v>
      </c>
      <c r="G158" s="54"/>
      <c r="H158" s="119"/>
      <c r="I158" s="54"/>
      <c r="J158" s="54"/>
      <c r="K158" s="54"/>
      <c r="L158" s="119"/>
      <c r="M158" s="54"/>
      <c r="N158" s="54"/>
      <c r="O158" s="54"/>
      <c r="P158" s="119"/>
      <c r="Q158" s="54"/>
      <c r="R158" s="54"/>
      <c r="S158" s="54"/>
      <c r="T158" s="119"/>
      <c r="U158" s="54"/>
      <c r="V158" s="54"/>
      <c r="W158" s="54"/>
      <c r="X158" s="119"/>
      <c r="Y158" s="54"/>
      <c r="Z158" s="54"/>
      <c r="AA158" s="54"/>
      <c r="AB158" s="119"/>
      <c r="AC158" s="54"/>
      <c r="AD158" s="54"/>
      <c r="AE158" s="54"/>
      <c r="AF158" s="119"/>
      <c r="AG158" s="54"/>
      <c r="AH158" s="54"/>
      <c r="AI158" s="54"/>
      <c r="AJ158" s="119"/>
      <c r="AK158" s="54"/>
      <c r="AL158" s="54"/>
      <c r="AM158" s="54"/>
      <c r="AN158" s="119"/>
      <c r="AO158" s="54"/>
      <c r="AP158" s="54"/>
      <c r="AQ158" s="54"/>
      <c r="AR158" s="119"/>
      <c r="AS158" s="54"/>
      <c r="AT158" s="54"/>
      <c r="AU158" s="54"/>
      <c r="AV158" s="119"/>
      <c r="AW158" s="54"/>
      <c r="AX158" s="54"/>
      <c r="AY158" s="54"/>
      <c r="AZ158" s="119"/>
      <c r="BA158" s="54"/>
      <c r="BB158" s="54"/>
      <c r="BC158" s="54"/>
      <c r="BD158" s="119"/>
      <c r="BE158" s="54"/>
      <c r="BF158" s="54"/>
      <c r="BG158" s="54"/>
      <c r="BH158" s="119"/>
      <c r="BI158" s="54"/>
      <c r="BJ158" s="180"/>
    </row>
    <row r="159" spans="1:62" s="38" customFormat="1" ht="25.5" x14ac:dyDescent="0.2">
      <c r="A159" s="25"/>
      <c r="B159" s="24" t="s">
        <v>185</v>
      </c>
      <c r="C159" s="64">
        <f t="shared" si="60"/>
        <v>0</v>
      </c>
      <c r="D159" s="64">
        <f t="shared" si="61"/>
        <v>0</v>
      </c>
      <c r="E159" s="64">
        <f t="shared" si="61"/>
        <v>0</v>
      </c>
      <c r="F159" s="64">
        <f t="shared" si="61"/>
        <v>0</v>
      </c>
      <c r="G159" s="54"/>
      <c r="H159" s="119"/>
      <c r="I159" s="54"/>
      <c r="J159" s="54"/>
      <c r="K159" s="54"/>
      <c r="L159" s="119"/>
      <c r="M159" s="54"/>
      <c r="N159" s="54"/>
      <c r="O159" s="54"/>
      <c r="P159" s="119"/>
      <c r="Q159" s="54"/>
      <c r="R159" s="54"/>
      <c r="S159" s="54"/>
      <c r="T159" s="119"/>
      <c r="U159" s="54"/>
      <c r="V159" s="54"/>
      <c r="W159" s="54"/>
      <c r="X159" s="119"/>
      <c r="Y159" s="54"/>
      <c r="Z159" s="54"/>
      <c r="AA159" s="54"/>
      <c r="AB159" s="119"/>
      <c r="AC159" s="54"/>
      <c r="AD159" s="54"/>
      <c r="AE159" s="54"/>
      <c r="AF159" s="119"/>
      <c r="AG159" s="54"/>
      <c r="AH159" s="54"/>
      <c r="AI159" s="54"/>
      <c r="AJ159" s="119"/>
      <c r="AK159" s="54"/>
      <c r="AL159" s="54"/>
      <c r="AM159" s="54"/>
      <c r="AN159" s="119"/>
      <c r="AO159" s="54"/>
      <c r="AP159" s="54"/>
      <c r="AQ159" s="54"/>
      <c r="AR159" s="119"/>
      <c r="AS159" s="54"/>
      <c r="AT159" s="54"/>
      <c r="AU159" s="54"/>
      <c r="AV159" s="119"/>
      <c r="AW159" s="54"/>
      <c r="AX159" s="54"/>
      <c r="AY159" s="54"/>
      <c r="AZ159" s="119"/>
      <c r="BA159" s="54"/>
      <c r="BB159" s="54"/>
      <c r="BC159" s="54"/>
      <c r="BD159" s="119"/>
      <c r="BE159" s="54"/>
      <c r="BF159" s="54"/>
      <c r="BG159" s="54"/>
      <c r="BH159" s="119"/>
      <c r="BI159" s="54"/>
      <c r="BJ159" s="180"/>
    </row>
    <row r="160" spans="1:62" s="38" customFormat="1" x14ac:dyDescent="0.2">
      <c r="A160" s="25"/>
      <c r="B160" s="319" t="s">
        <v>186</v>
      </c>
      <c r="C160" s="64">
        <f t="shared" si="60"/>
        <v>0</v>
      </c>
      <c r="D160" s="64">
        <f t="shared" si="61"/>
        <v>0</v>
      </c>
      <c r="E160" s="64">
        <f t="shared" si="61"/>
        <v>0</v>
      </c>
      <c r="F160" s="64">
        <f t="shared" si="61"/>
        <v>0</v>
      </c>
      <c r="G160" s="54"/>
      <c r="H160" s="119"/>
      <c r="I160" s="54"/>
      <c r="J160" s="54"/>
      <c r="K160" s="54"/>
      <c r="L160" s="119"/>
      <c r="M160" s="54"/>
      <c r="N160" s="54"/>
      <c r="O160" s="54"/>
      <c r="P160" s="119"/>
      <c r="Q160" s="54"/>
      <c r="R160" s="54"/>
      <c r="S160" s="54"/>
      <c r="T160" s="119"/>
      <c r="U160" s="54"/>
      <c r="V160" s="54"/>
      <c r="W160" s="54"/>
      <c r="X160" s="119"/>
      <c r="Y160" s="54"/>
      <c r="Z160" s="54"/>
      <c r="AA160" s="54"/>
      <c r="AB160" s="119"/>
      <c r="AC160" s="54"/>
      <c r="AD160" s="54"/>
      <c r="AE160" s="54"/>
      <c r="AF160" s="119"/>
      <c r="AG160" s="54"/>
      <c r="AH160" s="54"/>
      <c r="AI160" s="54"/>
      <c r="AJ160" s="119"/>
      <c r="AK160" s="54"/>
      <c r="AL160" s="54"/>
      <c r="AM160" s="54"/>
      <c r="AN160" s="119"/>
      <c r="AO160" s="54"/>
      <c r="AP160" s="54"/>
      <c r="AQ160" s="54"/>
      <c r="AR160" s="119"/>
      <c r="AS160" s="54"/>
      <c r="AT160" s="54"/>
      <c r="AU160" s="54"/>
      <c r="AV160" s="119"/>
      <c r="AW160" s="54"/>
      <c r="AX160" s="54"/>
      <c r="AY160" s="54"/>
      <c r="AZ160" s="119"/>
      <c r="BA160" s="54"/>
      <c r="BB160" s="54"/>
      <c r="BC160" s="54"/>
      <c r="BD160" s="119"/>
      <c r="BE160" s="54"/>
      <c r="BF160" s="54"/>
      <c r="BG160" s="54"/>
      <c r="BH160" s="119"/>
      <c r="BI160" s="54"/>
      <c r="BJ160" s="180"/>
    </row>
    <row r="161" spans="1:62" s="38" customFormat="1" ht="25.5" x14ac:dyDescent="0.2">
      <c r="A161" s="25"/>
      <c r="B161" s="24" t="s">
        <v>187</v>
      </c>
      <c r="C161" s="64">
        <f t="shared" si="60"/>
        <v>0</v>
      </c>
      <c r="D161" s="64">
        <f t="shared" si="61"/>
        <v>0</v>
      </c>
      <c r="E161" s="64">
        <f t="shared" si="61"/>
        <v>0</v>
      </c>
      <c r="F161" s="64">
        <f t="shared" si="61"/>
        <v>0</v>
      </c>
      <c r="G161" s="54"/>
      <c r="H161" s="119"/>
      <c r="I161" s="54"/>
      <c r="J161" s="54"/>
      <c r="K161" s="54"/>
      <c r="L161" s="119"/>
      <c r="M161" s="54"/>
      <c r="N161" s="54"/>
      <c r="O161" s="54"/>
      <c r="P161" s="119"/>
      <c r="Q161" s="54"/>
      <c r="R161" s="54"/>
      <c r="S161" s="54"/>
      <c r="T161" s="119"/>
      <c r="U161" s="54"/>
      <c r="V161" s="54"/>
      <c r="W161" s="54"/>
      <c r="X161" s="119"/>
      <c r="Y161" s="54"/>
      <c r="Z161" s="54"/>
      <c r="AA161" s="54"/>
      <c r="AB161" s="119"/>
      <c r="AC161" s="54"/>
      <c r="AD161" s="54"/>
      <c r="AE161" s="54"/>
      <c r="AF161" s="119"/>
      <c r="AG161" s="54"/>
      <c r="AH161" s="54"/>
      <c r="AI161" s="54"/>
      <c r="AJ161" s="119"/>
      <c r="AK161" s="54"/>
      <c r="AL161" s="54"/>
      <c r="AM161" s="54"/>
      <c r="AN161" s="119"/>
      <c r="AO161" s="54"/>
      <c r="AP161" s="54"/>
      <c r="AQ161" s="54"/>
      <c r="AR161" s="119"/>
      <c r="AS161" s="54"/>
      <c r="AT161" s="54"/>
      <c r="AU161" s="54"/>
      <c r="AV161" s="119"/>
      <c r="AW161" s="54"/>
      <c r="AX161" s="54"/>
      <c r="AY161" s="54"/>
      <c r="AZ161" s="119"/>
      <c r="BA161" s="54"/>
      <c r="BB161" s="54"/>
      <c r="BC161" s="54"/>
      <c r="BD161" s="119"/>
      <c r="BE161" s="54"/>
      <c r="BF161" s="54"/>
      <c r="BG161" s="54"/>
      <c r="BH161" s="119"/>
      <c r="BI161" s="54"/>
      <c r="BJ161" s="180"/>
    </row>
    <row r="162" spans="1:62" s="38" customFormat="1" ht="25.5" x14ac:dyDescent="0.2">
      <c r="A162" s="25"/>
      <c r="B162" s="24" t="s">
        <v>188</v>
      </c>
      <c r="C162" s="64">
        <f t="shared" si="60"/>
        <v>0</v>
      </c>
      <c r="D162" s="64">
        <f t="shared" si="61"/>
        <v>0</v>
      </c>
      <c r="E162" s="64">
        <f t="shared" si="61"/>
        <v>0</v>
      </c>
      <c r="F162" s="64">
        <f t="shared" si="61"/>
        <v>0</v>
      </c>
      <c r="G162" s="54"/>
      <c r="H162" s="119"/>
      <c r="I162" s="54"/>
      <c r="J162" s="54"/>
      <c r="K162" s="54"/>
      <c r="L162" s="119"/>
      <c r="M162" s="54"/>
      <c r="N162" s="54"/>
      <c r="O162" s="54"/>
      <c r="P162" s="119"/>
      <c r="Q162" s="54"/>
      <c r="R162" s="54"/>
      <c r="S162" s="54"/>
      <c r="T162" s="119"/>
      <c r="U162" s="54"/>
      <c r="V162" s="54"/>
      <c r="W162" s="54"/>
      <c r="X162" s="119"/>
      <c r="Y162" s="54"/>
      <c r="Z162" s="54"/>
      <c r="AA162" s="54"/>
      <c r="AB162" s="119"/>
      <c r="AC162" s="54"/>
      <c r="AD162" s="54"/>
      <c r="AE162" s="54"/>
      <c r="AF162" s="119"/>
      <c r="AG162" s="54"/>
      <c r="AH162" s="54"/>
      <c r="AI162" s="54"/>
      <c r="AJ162" s="119"/>
      <c r="AK162" s="54"/>
      <c r="AL162" s="54"/>
      <c r="AM162" s="54"/>
      <c r="AN162" s="119"/>
      <c r="AO162" s="54"/>
      <c r="AP162" s="54"/>
      <c r="AQ162" s="54"/>
      <c r="AR162" s="119"/>
      <c r="AS162" s="54"/>
      <c r="AT162" s="54"/>
      <c r="AU162" s="54"/>
      <c r="AV162" s="119"/>
      <c r="AW162" s="54"/>
      <c r="AX162" s="54"/>
      <c r="AY162" s="54"/>
      <c r="AZ162" s="119"/>
      <c r="BA162" s="54"/>
      <c r="BB162" s="54"/>
      <c r="BC162" s="54"/>
      <c r="BD162" s="119"/>
      <c r="BE162" s="54"/>
      <c r="BF162" s="54"/>
      <c r="BG162" s="54"/>
      <c r="BH162" s="119"/>
      <c r="BI162" s="54"/>
      <c r="BJ162" s="180"/>
    </row>
    <row r="163" spans="1:62" s="38" customFormat="1" x14ac:dyDescent="0.2">
      <c r="A163" s="25"/>
      <c r="B163" s="24" t="s">
        <v>189</v>
      </c>
      <c r="C163" s="64"/>
      <c r="D163" s="64"/>
      <c r="E163" s="64"/>
      <c r="F163" s="64"/>
      <c r="G163" s="54"/>
      <c r="H163" s="119"/>
      <c r="I163" s="54"/>
      <c r="J163" s="54"/>
      <c r="K163" s="54"/>
      <c r="L163" s="119"/>
      <c r="M163" s="54"/>
      <c r="N163" s="54"/>
      <c r="O163" s="54"/>
      <c r="P163" s="119"/>
      <c r="Q163" s="54"/>
      <c r="R163" s="54"/>
      <c r="S163" s="54"/>
      <c r="T163" s="119"/>
      <c r="U163" s="54"/>
      <c r="V163" s="54"/>
      <c r="W163" s="54"/>
      <c r="X163" s="119"/>
      <c r="Y163" s="54"/>
      <c r="Z163" s="54"/>
      <c r="AA163" s="54"/>
      <c r="AB163" s="119"/>
      <c r="AC163" s="54"/>
      <c r="AD163" s="54"/>
      <c r="AE163" s="54"/>
      <c r="AF163" s="119"/>
      <c r="AG163" s="54"/>
      <c r="AH163" s="54"/>
      <c r="AI163" s="54"/>
      <c r="AJ163" s="119"/>
      <c r="AK163" s="54"/>
      <c r="AL163" s="54"/>
      <c r="AM163" s="54"/>
      <c r="AN163" s="119"/>
      <c r="AO163" s="54"/>
      <c r="AP163" s="54"/>
      <c r="AQ163" s="54"/>
      <c r="AR163" s="119"/>
      <c r="AS163" s="54"/>
      <c r="AT163" s="54"/>
      <c r="AU163" s="54"/>
      <c r="AV163" s="119"/>
      <c r="AW163" s="54"/>
      <c r="AX163" s="54"/>
      <c r="AY163" s="54"/>
      <c r="AZ163" s="119"/>
      <c r="BA163" s="54"/>
      <c r="BB163" s="54"/>
      <c r="BC163" s="54"/>
      <c r="BD163" s="119"/>
      <c r="BE163" s="54"/>
      <c r="BF163" s="54"/>
      <c r="BG163" s="54"/>
      <c r="BH163" s="119"/>
      <c r="BI163" s="54"/>
      <c r="BJ163" s="180"/>
    </row>
    <row r="164" spans="1:62" s="38" customFormat="1" ht="15" x14ac:dyDescent="0.25">
      <c r="A164" s="25"/>
      <c r="B164" s="40" t="s">
        <v>190</v>
      </c>
      <c r="C164" s="64">
        <f t="shared" si="54"/>
        <v>1</v>
      </c>
      <c r="D164" s="64">
        <f t="shared" si="55"/>
        <v>200000</v>
      </c>
      <c r="E164" s="64">
        <f t="shared" si="56"/>
        <v>0</v>
      </c>
      <c r="F164" s="64">
        <f t="shared" si="57"/>
        <v>0</v>
      </c>
      <c r="G164" s="54"/>
      <c r="H164" s="119"/>
      <c r="I164" s="54"/>
      <c r="J164" s="54"/>
      <c r="K164" s="54"/>
      <c r="L164" s="119"/>
      <c r="M164" s="54"/>
      <c r="N164" s="54"/>
      <c r="O164" s="54"/>
      <c r="P164" s="119"/>
      <c r="Q164" s="54"/>
      <c r="R164" s="54"/>
      <c r="S164" s="54"/>
      <c r="T164" s="119"/>
      <c r="U164" s="54"/>
      <c r="V164" s="54"/>
      <c r="W164" s="54"/>
      <c r="X164" s="119"/>
      <c r="Y164" s="54"/>
      <c r="Z164" s="54"/>
      <c r="AA164" s="54"/>
      <c r="AB164" s="119"/>
      <c r="AC164" s="54"/>
      <c r="AD164" s="54"/>
      <c r="AE164" s="54"/>
      <c r="AF164" s="119"/>
      <c r="AG164" s="54"/>
      <c r="AH164" s="54"/>
      <c r="AI164" s="47">
        <v>1</v>
      </c>
      <c r="AJ164" s="119">
        <v>200000</v>
      </c>
      <c r="AK164" s="54"/>
      <c r="AL164" s="54"/>
      <c r="AM164" s="54"/>
      <c r="AN164" s="119"/>
      <c r="AO164" s="54"/>
      <c r="AP164" s="54"/>
      <c r="AQ164" s="54"/>
      <c r="AR164" s="119"/>
      <c r="AS164" s="54"/>
      <c r="AT164" s="54"/>
      <c r="AU164" s="54"/>
      <c r="AV164" s="119"/>
      <c r="AW164" s="54"/>
      <c r="AX164" s="54"/>
      <c r="AY164" s="54"/>
      <c r="AZ164" s="119"/>
      <c r="BA164" s="54"/>
      <c r="BB164" s="54"/>
      <c r="BC164" s="54"/>
      <c r="BD164" s="119"/>
      <c r="BE164" s="54"/>
      <c r="BF164" s="54"/>
      <c r="BG164" s="54"/>
      <c r="BH164" s="119"/>
      <c r="BI164" s="54"/>
      <c r="BJ164" s="180"/>
    </row>
    <row r="165" spans="1:62" s="38" customFormat="1" ht="15" x14ac:dyDescent="0.25">
      <c r="A165" s="25"/>
      <c r="B165" s="24" t="s">
        <v>191</v>
      </c>
      <c r="C165" s="64">
        <f t="shared" si="54"/>
        <v>7</v>
      </c>
      <c r="D165" s="64">
        <f t="shared" si="55"/>
        <v>66000</v>
      </c>
      <c r="E165" s="64">
        <f t="shared" si="56"/>
        <v>0</v>
      </c>
      <c r="F165" s="64">
        <f t="shared" si="57"/>
        <v>0</v>
      </c>
      <c r="G165" s="47"/>
      <c r="H165" s="119"/>
      <c r="I165" s="54"/>
      <c r="J165" s="54"/>
      <c r="K165" s="54">
        <v>2</v>
      </c>
      <c r="L165" s="119">
        <v>15000</v>
      </c>
      <c r="M165" s="54"/>
      <c r="N165" s="54"/>
      <c r="O165" s="54">
        <v>1</v>
      </c>
      <c r="P165" s="119">
        <v>20000</v>
      </c>
      <c r="Q165" s="54"/>
      <c r="R165" s="54"/>
      <c r="S165" s="54"/>
      <c r="T165" s="119"/>
      <c r="U165" s="54"/>
      <c r="V165" s="54"/>
      <c r="W165" s="54"/>
      <c r="X165" s="119"/>
      <c r="Y165" s="54"/>
      <c r="Z165" s="54"/>
      <c r="AA165" s="54"/>
      <c r="AB165" s="119"/>
      <c r="AC165" s="54"/>
      <c r="AD165" s="54"/>
      <c r="AE165" s="54"/>
      <c r="AF165" s="119"/>
      <c r="AG165" s="54"/>
      <c r="AH165" s="54"/>
      <c r="AI165" s="54"/>
      <c r="AJ165" s="119"/>
      <c r="AK165" s="54"/>
      <c r="AL165" s="54"/>
      <c r="AM165" s="54"/>
      <c r="AN165" s="119"/>
      <c r="AO165" s="54"/>
      <c r="AP165" s="54"/>
      <c r="AQ165" s="54">
        <v>2</v>
      </c>
      <c r="AR165" s="119">
        <v>16000</v>
      </c>
      <c r="AS165" s="54"/>
      <c r="AT165" s="54"/>
      <c r="AU165" s="54">
        <v>1</v>
      </c>
      <c r="AV165" s="119">
        <v>10000</v>
      </c>
      <c r="AW165" s="54"/>
      <c r="AX165" s="54"/>
      <c r="AY165" s="47"/>
      <c r="AZ165" s="119"/>
      <c r="BA165" s="54"/>
      <c r="BB165" s="54"/>
      <c r="BC165" s="54">
        <v>1</v>
      </c>
      <c r="BD165" s="119">
        <v>5000</v>
      </c>
      <c r="BE165" s="54"/>
      <c r="BF165" s="54"/>
      <c r="BG165" s="54"/>
      <c r="BH165" s="119"/>
      <c r="BI165" s="54"/>
      <c r="BJ165" s="180"/>
    </row>
    <row r="166" spans="1:62" ht="13.5" thickBot="1" x14ac:dyDescent="0.25">
      <c r="A166" s="103"/>
      <c r="B166" s="96" t="s">
        <v>161</v>
      </c>
      <c r="C166" s="137">
        <f t="shared" ref="C166:AH166" si="62">SUM(C135:C165)</f>
        <v>722</v>
      </c>
      <c r="D166" s="137">
        <f t="shared" si="62"/>
        <v>5002850</v>
      </c>
      <c r="E166" s="137">
        <f t="shared" si="62"/>
        <v>0</v>
      </c>
      <c r="F166" s="137">
        <f t="shared" si="62"/>
        <v>0</v>
      </c>
      <c r="G166" s="137">
        <f t="shared" si="62"/>
        <v>52</v>
      </c>
      <c r="H166" s="137">
        <f t="shared" si="62"/>
        <v>114390</v>
      </c>
      <c r="I166" s="137">
        <f t="shared" si="62"/>
        <v>0</v>
      </c>
      <c r="J166" s="137">
        <f t="shared" si="62"/>
        <v>0</v>
      </c>
      <c r="K166" s="137">
        <f t="shared" si="62"/>
        <v>23</v>
      </c>
      <c r="L166" s="137">
        <f t="shared" si="62"/>
        <v>74000</v>
      </c>
      <c r="M166" s="137">
        <f t="shared" si="62"/>
        <v>0</v>
      </c>
      <c r="N166" s="137">
        <f t="shared" si="62"/>
        <v>0</v>
      </c>
      <c r="O166" s="137">
        <f t="shared" si="62"/>
        <v>42</v>
      </c>
      <c r="P166" s="137">
        <f t="shared" si="62"/>
        <v>272000</v>
      </c>
      <c r="Q166" s="137">
        <f t="shared" si="62"/>
        <v>0</v>
      </c>
      <c r="R166" s="137">
        <f t="shared" si="62"/>
        <v>0</v>
      </c>
      <c r="S166" s="137">
        <f t="shared" si="62"/>
        <v>78</v>
      </c>
      <c r="T166" s="137">
        <f t="shared" si="62"/>
        <v>40920</v>
      </c>
      <c r="U166" s="137">
        <f t="shared" si="62"/>
        <v>0</v>
      </c>
      <c r="V166" s="137">
        <f t="shared" si="62"/>
        <v>0</v>
      </c>
      <c r="W166" s="137">
        <f t="shared" si="62"/>
        <v>14</v>
      </c>
      <c r="X166" s="137">
        <f t="shared" si="62"/>
        <v>1400000</v>
      </c>
      <c r="Y166" s="137">
        <f t="shared" si="62"/>
        <v>0</v>
      </c>
      <c r="Z166" s="137">
        <f t="shared" si="62"/>
        <v>0</v>
      </c>
      <c r="AA166" s="137">
        <f t="shared" si="62"/>
        <v>25</v>
      </c>
      <c r="AB166" s="137">
        <f t="shared" si="62"/>
        <v>86200</v>
      </c>
      <c r="AC166" s="137">
        <f t="shared" si="62"/>
        <v>0</v>
      </c>
      <c r="AD166" s="137">
        <f t="shared" si="62"/>
        <v>0</v>
      </c>
      <c r="AE166" s="137">
        <f t="shared" si="62"/>
        <v>49</v>
      </c>
      <c r="AF166" s="137">
        <f t="shared" si="62"/>
        <v>140000</v>
      </c>
      <c r="AG166" s="137">
        <f t="shared" si="62"/>
        <v>0</v>
      </c>
      <c r="AH166" s="137">
        <f t="shared" si="62"/>
        <v>0</v>
      </c>
      <c r="AI166" s="137">
        <f t="shared" ref="AI166:BJ166" si="63">SUM(AI135:AI165)</f>
        <v>22</v>
      </c>
      <c r="AJ166" s="137">
        <f t="shared" si="63"/>
        <v>755500</v>
      </c>
      <c r="AK166" s="137">
        <f t="shared" si="63"/>
        <v>0</v>
      </c>
      <c r="AL166" s="137">
        <f t="shared" si="63"/>
        <v>0</v>
      </c>
      <c r="AM166" s="137">
        <f t="shared" si="63"/>
        <v>20</v>
      </c>
      <c r="AN166" s="137">
        <f t="shared" si="63"/>
        <v>78000</v>
      </c>
      <c r="AO166" s="137">
        <f t="shared" si="63"/>
        <v>0</v>
      </c>
      <c r="AP166" s="137">
        <f t="shared" si="63"/>
        <v>0</v>
      </c>
      <c r="AQ166" s="137">
        <f t="shared" si="63"/>
        <v>33</v>
      </c>
      <c r="AR166" s="137">
        <f t="shared" si="63"/>
        <v>335880</v>
      </c>
      <c r="AS166" s="137">
        <f t="shared" si="63"/>
        <v>0</v>
      </c>
      <c r="AT166" s="137">
        <f t="shared" si="63"/>
        <v>0</v>
      </c>
      <c r="AU166" s="137">
        <f t="shared" si="63"/>
        <v>78</v>
      </c>
      <c r="AV166" s="137">
        <f t="shared" si="63"/>
        <v>244500</v>
      </c>
      <c r="AW166" s="137">
        <f t="shared" si="63"/>
        <v>0</v>
      </c>
      <c r="AX166" s="137">
        <f t="shared" si="63"/>
        <v>0</v>
      </c>
      <c r="AY166" s="137">
        <f t="shared" si="63"/>
        <v>263</v>
      </c>
      <c r="AZ166" s="137">
        <f t="shared" si="63"/>
        <v>223500</v>
      </c>
      <c r="BA166" s="137">
        <f t="shared" si="63"/>
        <v>0</v>
      </c>
      <c r="BB166" s="137">
        <f t="shared" si="63"/>
        <v>0</v>
      </c>
      <c r="BC166" s="137">
        <f t="shared" si="63"/>
        <v>13</v>
      </c>
      <c r="BD166" s="137">
        <f t="shared" si="63"/>
        <v>86000</v>
      </c>
      <c r="BE166" s="137">
        <f t="shared" si="63"/>
        <v>0</v>
      </c>
      <c r="BF166" s="137">
        <f t="shared" si="63"/>
        <v>0</v>
      </c>
      <c r="BG166" s="137">
        <f t="shared" si="63"/>
        <v>10</v>
      </c>
      <c r="BH166" s="137">
        <f t="shared" si="63"/>
        <v>1151960</v>
      </c>
      <c r="BI166" s="137">
        <f t="shared" si="63"/>
        <v>0</v>
      </c>
      <c r="BJ166" s="137">
        <f t="shared" si="63"/>
        <v>0</v>
      </c>
    </row>
    <row r="167" spans="1:62" s="38" customFormat="1" ht="13.5" thickBot="1" x14ac:dyDescent="0.25">
      <c r="A167" s="41"/>
      <c r="B167" s="156"/>
      <c r="C167" s="109"/>
      <c r="D167" s="21"/>
      <c r="E167" s="109"/>
      <c r="F167" s="109"/>
      <c r="G167" s="20"/>
      <c r="H167" s="26"/>
      <c r="I167" s="154"/>
      <c r="J167" s="20"/>
      <c r="K167" s="20"/>
      <c r="L167" s="26"/>
      <c r="M167" s="154"/>
      <c r="N167" s="20"/>
      <c r="O167" s="20"/>
      <c r="P167" s="26"/>
      <c r="Q167" s="154"/>
      <c r="R167" s="20"/>
      <c r="S167" s="20"/>
      <c r="T167" s="26"/>
      <c r="U167" s="154"/>
      <c r="V167" s="20"/>
      <c r="W167" s="20"/>
      <c r="X167" s="26"/>
      <c r="Y167" s="154"/>
      <c r="Z167" s="20"/>
      <c r="AA167" s="20"/>
      <c r="AB167" s="26"/>
      <c r="AC167" s="154"/>
      <c r="AD167" s="20"/>
      <c r="AE167" s="20"/>
      <c r="AF167" s="26"/>
      <c r="AG167" s="154"/>
      <c r="AH167" s="20"/>
      <c r="AI167" s="20"/>
      <c r="AJ167" s="26"/>
      <c r="AK167" s="154"/>
      <c r="AL167" s="20"/>
      <c r="AM167" s="20"/>
      <c r="AN167" s="26"/>
      <c r="AO167" s="154"/>
      <c r="AP167" s="20"/>
      <c r="AQ167" s="20"/>
      <c r="AR167" s="26"/>
      <c r="AS167" s="154"/>
      <c r="AT167" s="20"/>
      <c r="AU167" s="20"/>
      <c r="AV167" s="26"/>
      <c r="AW167" s="154"/>
      <c r="AX167" s="20"/>
      <c r="AY167" s="20"/>
      <c r="AZ167" s="26"/>
      <c r="BA167" s="154"/>
      <c r="BB167" s="20"/>
      <c r="BC167" s="20"/>
      <c r="BD167" s="26"/>
      <c r="BE167" s="154"/>
      <c r="BF167" s="20"/>
      <c r="BG167" s="20"/>
      <c r="BH167" s="26"/>
      <c r="BI167" s="154"/>
      <c r="BJ167" s="20"/>
    </row>
    <row r="168" spans="1:62" ht="16.5" thickBot="1" x14ac:dyDescent="0.3">
      <c r="A168" s="153"/>
      <c r="B168" s="152" t="s">
        <v>162</v>
      </c>
      <c r="C168" s="150">
        <f t="shared" ref="C168:AH168" si="64">C12+C48+C60+C73+C77+C92+C133+C166</f>
        <v>2064</v>
      </c>
      <c r="D168" s="150">
        <f t="shared" si="64"/>
        <v>39053250</v>
      </c>
      <c r="E168" s="150">
        <f t="shared" si="64"/>
        <v>0</v>
      </c>
      <c r="F168" s="150">
        <f t="shared" si="64"/>
        <v>0</v>
      </c>
      <c r="G168" s="150">
        <f t="shared" si="64"/>
        <v>207</v>
      </c>
      <c r="H168" s="150">
        <f t="shared" si="64"/>
        <v>4804390</v>
      </c>
      <c r="I168" s="150">
        <f t="shared" si="64"/>
        <v>0</v>
      </c>
      <c r="J168" s="150">
        <f t="shared" si="64"/>
        <v>0</v>
      </c>
      <c r="K168" s="150">
        <f t="shared" si="64"/>
        <v>162</v>
      </c>
      <c r="L168" s="150">
        <f t="shared" si="64"/>
        <v>2889800</v>
      </c>
      <c r="M168" s="150">
        <f t="shared" si="64"/>
        <v>0</v>
      </c>
      <c r="N168" s="150">
        <f t="shared" si="64"/>
        <v>0</v>
      </c>
      <c r="O168" s="150">
        <f t="shared" si="64"/>
        <v>115</v>
      </c>
      <c r="P168" s="150">
        <f t="shared" si="64"/>
        <v>1922500</v>
      </c>
      <c r="Q168" s="150">
        <f t="shared" si="64"/>
        <v>0</v>
      </c>
      <c r="R168" s="150">
        <f t="shared" si="64"/>
        <v>0</v>
      </c>
      <c r="S168" s="150">
        <f t="shared" si="64"/>
        <v>103</v>
      </c>
      <c r="T168" s="150">
        <f t="shared" si="64"/>
        <v>1727420</v>
      </c>
      <c r="U168" s="150">
        <f t="shared" si="64"/>
        <v>0</v>
      </c>
      <c r="V168" s="150">
        <f t="shared" si="64"/>
        <v>0</v>
      </c>
      <c r="W168" s="150">
        <f t="shared" si="64"/>
        <v>121</v>
      </c>
      <c r="X168" s="150">
        <f t="shared" si="64"/>
        <v>3446900</v>
      </c>
      <c r="Y168" s="150">
        <f t="shared" si="64"/>
        <v>0</v>
      </c>
      <c r="Z168" s="150">
        <f t="shared" si="64"/>
        <v>0</v>
      </c>
      <c r="AA168" s="150">
        <f t="shared" si="64"/>
        <v>93</v>
      </c>
      <c r="AB168" s="150">
        <f t="shared" si="64"/>
        <v>1945700</v>
      </c>
      <c r="AC168" s="150">
        <f t="shared" si="64"/>
        <v>0</v>
      </c>
      <c r="AD168" s="150">
        <f t="shared" si="64"/>
        <v>0</v>
      </c>
      <c r="AE168" s="150">
        <f t="shared" si="64"/>
        <v>156</v>
      </c>
      <c r="AF168" s="150">
        <f t="shared" si="64"/>
        <v>1986300</v>
      </c>
      <c r="AG168" s="150">
        <f t="shared" si="64"/>
        <v>0</v>
      </c>
      <c r="AH168" s="150">
        <f t="shared" si="64"/>
        <v>0</v>
      </c>
      <c r="AI168" s="150">
        <f t="shared" ref="AI168:BJ168" si="65">AI12+AI48+AI60+AI73+AI77+AI92+AI133+AI166</f>
        <v>54</v>
      </c>
      <c r="AJ168" s="150">
        <f t="shared" si="65"/>
        <v>2537000</v>
      </c>
      <c r="AK168" s="150">
        <f t="shared" si="65"/>
        <v>0</v>
      </c>
      <c r="AL168" s="150">
        <f t="shared" si="65"/>
        <v>0</v>
      </c>
      <c r="AM168" s="150">
        <f t="shared" si="65"/>
        <v>103</v>
      </c>
      <c r="AN168" s="150">
        <f t="shared" si="65"/>
        <v>2986500</v>
      </c>
      <c r="AO168" s="150">
        <f t="shared" si="65"/>
        <v>0</v>
      </c>
      <c r="AP168" s="150">
        <f t="shared" si="65"/>
        <v>0</v>
      </c>
      <c r="AQ168" s="150">
        <f t="shared" si="65"/>
        <v>71</v>
      </c>
      <c r="AR168" s="150">
        <f t="shared" si="65"/>
        <v>2045880</v>
      </c>
      <c r="AS168" s="150">
        <f t="shared" si="65"/>
        <v>0</v>
      </c>
      <c r="AT168" s="150">
        <f t="shared" si="65"/>
        <v>0</v>
      </c>
      <c r="AU168" s="150">
        <f t="shared" si="65"/>
        <v>120</v>
      </c>
      <c r="AV168" s="150">
        <f t="shared" si="65"/>
        <v>2062500</v>
      </c>
      <c r="AW168" s="150">
        <f t="shared" si="65"/>
        <v>0</v>
      </c>
      <c r="AX168" s="150">
        <f t="shared" si="65"/>
        <v>0</v>
      </c>
      <c r="AY168" s="150">
        <f t="shared" si="65"/>
        <v>336</v>
      </c>
      <c r="AZ168" s="150">
        <f t="shared" si="65"/>
        <v>1639000</v>
      </c>
      <c r="BA168" s="150">
        <f t="shared" si="65"/>
        <v>0</v>
      </c>
      <c r="BB168" s="150">
        <f t="shared" si="65"/>
        <v>0</v>
      </c>
      <c r="BC168" s="150">
        <f t="shared" si="65"/>
        <v>117</v>
      </c>
      <c r="BD168" s="150">
        <f t="shared" si="65"/>
        <v>1865700</v>
      </c>
      <c r="BE168" s="150">
        <f t="shared" si="65"/>
        <v>0</v>
      </c>
      <c r="BF168" s="150">
        <f t="shared" si="65"/>
        <v>0</v>
      </c>
      <c r="BG168" s="150">
        <f t="shared" si="65"/>
        <v>309</v>
      </c>
      <c r="BH168" s="150">
        <f t="shared" si="65"/>
        <v>4043660</v>
      </c>
      <c r="BI168" s="150">
        <f t="shared" si="65"/>
        <v>0</v>
      </c>
      <c r="BJ168" s="150">
        <f t="shared" si="65"/>
        <v>0</v>
      </c>
    </row>
    <row r="182" s="5" customFormat="1" x14ac:dyDescent="0.2"/>
    <row r="183" s="5" customFormat="1" x14ac:dyDescent="0.2"/>
  </sheetData>
  <mergeCells count="45">
    <mergeCell ref="M4:N4"/>
    <mergeCell ref="C4:D4"/>
    <mergeCell ref="E4:F4"/>
    <mergeCell ref="G4:H4"/>
    <mergeCell ref="I4:J4"/>
    <mergeCell ref="K4:L4"/>
    <mergeCell ref="AK4:AL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AA3:AD3"/>
    <mergeCell ref="AE3:AH3"/>
    <mergeCell ref="AI3:AL3"/>
    <mergeCell ref="AM3:AP3"/>
    <mergeCell ref="E3:F3"/>
    <mergeCell ref="G3:J3"/>
    <mergeCell ref="K3:N3"/>
    <mergeCell ref="O3:R3"/>
    <mergeCell ref="S3:V3"/>
    <mergeCell ref="W3:Z3"/>
    <mergeCell ref="AQ3:AT3"/>
    <mergeCell ref="AU3:AX3"/>
    <mergeCell ref="AY3:BB3"/>
    <mergeCell ref="BC3:BF3"/>
    <mergeCell ref="BG3:BJ3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H183"/>
  <sheetViews>
    <sheetView zoomScale="110" zoomScaleNormal="110" workbookViewId="0">
      <pane xSplit="2" ySplit="4" topLeftCell="C128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70.140625" style="9" customWidth="1"/>
    <col min="3" max="3" width="13.140625" style="12" customWidth="1"/>
    <col min="4" max="4" width="14.28515625" style="13" customWidth="1"/>
    <col min="5" max="5" width="12.140625" style="5" customWidth="1"/>
    <col min="6" max="6" width="14.7109375" style="5" customWidth="1"/>
    <col min="7" max="7" width="9.140625" style="5"/>
    <col min="9" max="16384" width="9.140625" style="5"/>
  </cols>
  <sheetData>
    <row r="1" spans="1:8" ht="14.45" customHeight="1" x14ac:dyDescent="0.2">
      <c r="A1" s="1"/>
      <c r="B1" s="14" t="s">
        <v>55</v>
      </c>
      <c r="C1" s="4"/>
      <c r="D1" s="3"/>
      <c r="H1" s="5"/>
    </row>
    <row r="2" spans="1:8" ht="14.45" customHeight="1" thickBot="1" x14ac:dyDescent="0.25">
      <c r="A2" s="1"/>
      <c r="B2" s="2"/>
      <c r="C2" s="4"/>
      <c r="D2" s="3"/>
      <c r="F2" s="17" t="s">
        <v>236</v>
      </c>
      <c r="H2" s="5"/>
    </row>
    <row r="3" spans="1:8" s="6" customFormat="1" ht="19.5" customHeight="1" thickBot="1" x14ac:dyDescent="0.3">
      <c r="A3" s="70"/>
      <c r="B3" s="71"/>
      <c r="C3" s="77" t="s">
        <v>56</v>
      </c>
      <c r="D3" s="81"/>
      <c r="E3" s="419" t="s">
        <v>56</v>
      </c>
      <c r="F3" s="420"/>
      <c r="G3" s="50" t="s">
        <v>60</v>
      </c>
    </row>
    <row r="4" spans="1:8" s="6" customFormat="1" ht="30" customHeight="1" thickBot="1" x14ac:dyDescent="0.3">
      <c r="A4" s="83"/>
      <c r="B4" s="84"/>
      <c r="C4" s="405" t="s">
        <v>235</v>
      </c>
      <c r="D4" s="406"/>
      <c r="E4" s="411" t="s">
        <v>59</v>
      </c>
      <c r="F4" s="412"/>
      <c r="G4" s="50"/>
    </row>
    <row r="5" spans="1:8" s="7" customFormat="1" ht="35.25" customHeight="1" thickBot="1" x14ac:dyDescent="0.25">
      <c r="A5" s="257" t="s">
        <v>62</v>
      </c>
      <c r="B5" s="257" t="s">
        <v>63</v>
      </c>
      <c r="C5" s="162" t="s">
        <v>57</v>
      </c>
      <c r="D5" s="158" t="s">
        <v>58</v>
      </c>
      <c r="E5" s="162" t="s">
        <v>57</v>
      </c>
      <c r="F5" s="158" t="s">
        <v>58</v>
      </c>
      <c r="G5" s="51"/>
    </row>
    <row r="6" spans="1:8" s="9" customFormat="1" x14ac:dyDescent="0.2">
      <c r="A6" s="175" t="s">
        <v>2</v>
      </c>
      <c r="B6" s="176" t="s">
        <v>3</v>
      </c>
      <c r="C6" s="177"/>
      <c r="D6" s="178"/>
      <c r="E6" s="177"/>
      <c r="F6" s="179"/>
    </row>
    <row r="7" spans="1:8" x14ac:dyDescent="0.2">
      <c r="A7" s="25"/>
      <c r="B7" s="48" t="s">
        <v>18</v>
      </c>
      <c r="C7" s="54"/>
      <c r="D7" s="119"/>
      <c r="E7" s="113"/>
      <c r="F7" s="180"/>
      <c r="H7" s="5"/>
    </row>
    <row r="8" spans="1:8" ht="15" x14ac:dyDescent="0.25">
      <c r="A8" s="25"/>
      <c r="B8" s="48" t="s">
        <v>4</v>
      </c>
      <c r="C8" s="47">
        <v>1</v>
      </c>
      <c r="D8" s="119">
        <v>90000</v>
      </c>
      <c r="E8" s="113"/>
      <c r="F8" s="180"/>
      <c r="H8" s="5"/>
    </row>
    <row r="9" spans="1:8" x14ac:dyDescent="0.2">
      <c r="A9" s="25"/>
      <c r="B9" s="48" t="s">
        <v>17</v>
      </c>
      <c r="C9" s="54"/>
      <c r="D9" s="119"/>
      <c r="E9" s="113"/>
      <c r="F9" s="180"/>
      <c r="H9" s="5"/>
    </row>
    <row r="10" spans="1:8" x14ac:dyDescent="0.2">
      <c r="A10" s="25"/>
      <c r="B10" s="48" t="s">
        <v>15</v>
      </c>
      <c r="C10" s="54">
        <v>1</v>
      </c>
      <c r="D10" s="119">
        <v>260000</v>
      </c>
      <c r="E10" s="113"/>
      <c r="F10" s="180"/>
      <c r="H10" s="5"/>
    </row>
    <row r="11" spans="1:8" ht="13.5" thickBot="1" x14ac:dyDescent="0.25">
      <c r="A11" s="187"/>
      <c r="B11" s="188" t="s">
        <v>16</v>
      </c>
      <c r="C11" s="202"/>
      <c r="D11" s="189"/>
      <c r="E11" s="198"/>
      <c r="F11" s="191"/>
      <c r="H11" s="5"/>
    </row>
    <row r="12" spans="1:8" ht="13.5" thickBot="1" x14ac:dyDescent="0.25">
      <c r="A12" s="171"/>
      <c r="B12" s="172" t="s">
        <v>155</v>
      </c>
      <c r="C12" s="173">
        <f>SUM(C7:C11)</f>
        <v>2</v>
      </c>
      <c r="D12" s="173">
        <f>SUM(D7:D11)</f>
        <v>350000</v>
      </c>
      <c r="E12" s="173">
        <f>SUM(E7:E11)</f>
        <v>0</v>
      </c>
      <c r="F12" s="174">
        <f>SUM(F7:F11)</f>
        <v>0</v>
      </c>
      <c r="H12" s="5"/>
    </row>
    <row r="13" spans="1:8" s="52" customFormat="1" x14ac:dyDescent="0.2">
      <c r="A13" s="175" t="s">
        <v>5</v>
      </c>
      <c r="B13" s="176" t="s">
        <v>89</v>
      </c>
      <c r="C13" s="177"/>
      <c r="D13" s="177"/>
      <c r="E13" s="177"/>
      <c r="F13" s="179"/>
    </row>
    <row r="14" spans="1:8" s="52" customFormat="1" ht="15" x14ac:dyDescent="0.25">
      <c r="A14" s="25"/>
      <c r="B14" s="209" t="s">
        <v>19</v>
      </c>
      <c r="C14" s="47">
        <v>15</v>
      </c>
      <c r="D14" s="119">
        <f>3000*C14</f>
        <v>45000</v>
      </c>
      <c r="E14" s="58"/>
      <c r="F14" s="180"/>
    </row>
    <row r="15" spans="1:8" s="52" customFormat="1" x14ac:dyDescent="0.2">
      <c r="A15" s="25"/>
      <c r="B15" s="209" t="s">
        <v>20</v>
      </c>
      <c r="C15" s="54">
        <v>1</v>
      </c>
      <c r="D15" s="119">
        <f>11000*C15</f>
        <v>11000</v>
      </c>
      <c r="E15" s="58"/>
      <c r="F15" s="180"/>
    </row>
    <row r="16" spans="1:8" s="52" customFormat="1" x14ac:dyDescent="0.2">
      <c r="A16" s="25"/>
      <c r="B16" s="318" t="s">
        <v>21</v>
      </c>
      <c r="C16" s="54">
        <f>10</f>
        <v>10</v>
      </c>
      <c r="D16" s="119">
        <f>4500*C16</f>
        <v>45000</v>
      </c>
      <c r="E16" s="58"/>
      <c r="F16" s="180"/>
    </row>
    <row r="17" spans="1:6" s="52" customFormat="1" x14ac:dyDescent="0.2">
      <c r="A17" s="25"/>
      <c r="B17" s="318" t="s">
        <v>23</v>
      </c>
      <c r="C17" s="54"/>
      <c r="D17" s="119"/>
      <c r="E17" s="58"/>
      <c r="F17" s="180"/>
    </row>
    <row r="18" spans="1:6" s="38" customFormat="1" x14ac:dyDescent="0.2">
      <c r="A18" s="25"/>
      <c r="B18" s="318" t="s">
        <v>24</v>
      </c>
      <c r="C18" s="54"/>
      <c r="D18" s="119"/>
      <c r="E18" s="58"/>
      <c r="F18" s="180"/>
    </row>
    <row r="19" spans="1:6" s="38" customFormat="1" ht="15" x14ac:dyDescent="0.25">
      <c r="A19" s="25"/>
      <c r="B19" s="48" t="s">
        <v>25</v>
      </c>
      <c r="C19" s="47"/>
      <c r="D19" s="119"/>
      <c r="E19" s="58"/>
      <c r="F19" s="180"/>
    </row>
    <row r="20" spans="1:6" s="38" customFormat="1" ht="15" x14ac:dyDescent="0.25">
      <c r="A20" s="25"/>
      <c r="B20" s="209" t="s">
        <v>26</v>
      </c>
      <c r="C20" s="47"/>
      <c r="D20" s="119"/>
      <c r="E20" s="58"/>
      <c r="F20" s="180"/>
    </row>
    <row r="21" spans="1:6" s="38" customFormat="1" x14ac:dyDescent="0.2">
      <c r="A21" s="25"/>
      <c r="B21" s="209" t="s">
        <v>27</v>
      </c>
      <c r="C21" s="54">
        <v>12</v>
      </c>
      <c r="D21" s="119">
        <f>1500*C21</f>
        <v>18000</v>
      </c>
      <c r="E21" s="58"/>
      <c r="F21" s="180"/>
    </row>
    <row r="22" spans="1:6" s="38" customFormat="1" x14ac:dyDescent="0.2">
      <c r="A22" s="25"/>
      <c r="B22" s="48" t="s">
        <v>28</v>
      </c>
      <c r="C22" s="54">
        <v>5</v>
      </c>
      <c r="D22" s="119">
        <f>4000*C22</f>
        <v>20000</v>
      </c>
      <c r="E22" s="58"/>
      <c r="F22" s="180"/>
    </row>
    <row r="23" spans="1:6" s="38" customFormat="1" x14ac:dyDescent="0.2">
      <c r="A23" s="25"/>
      <c r="B23" s="48" t="s">
        <v>29</v>
      </c>
      <c r="C23" s="54"/>
      <c r="D23" s="119"/>
      <c r="E23" s="58"/>
      <c r="F23" s="180"/>
    </row>
    <row r="24" spans="1:6" s="38" customFormat="1" ht="15" x14ac:dyDescent="0.25">
      <c r="A24" s="25"/>
      <c r="B24" s="48" t="s">
        <v>30</v>
      </c>
      <c r="C24" s="47">
        <v>4</v>
      </c>
      <c r="D24" s="119">
        <f>C24*3000</f>
        <v>12000</v>
      </c>
      <c r="E24" s="58"/>
      <c r="F24" s="180"/>
    </row>
    <row r="25" spans="1:6" s="38" customFormat="1" x14ac:dyDescent="0.2">
      <c r="A25" s="25"/>
      <c r="B25" s="48" t="s">
        <v>31</v>
      </c>
      <c r="C25" s="54">
        <v>4</v>
      </c>
      <c r="D25" s="119">
        <f>C25*4000</f>
        <v>16000</v>
      </c>
      <c r="E25" s="58"/>
      <c r="F25" s="180"/>
    </row>
    <row r="26" spans="1:6" s="38" customFormat="1" x14ac:dyDescent="0.2">
      <c r="A26" s="25"/>
      <c r="B26" s="209" t="s">
        <v>32</v>
      </c>
      <c r="C26" s="54">
        <v>30</v>
      </c>
      <c r="D26" s="119">
        <f>C26*2500</f>
        <v>75000</v>
      </c>
      <c r="E26" s="58"/>
      <c r="F26" s="180"/>
    </row>
    <row r="27" spans="1:6" s="38" customFormat="1" ht="15" x14ac:dyDescent="0.25">
      <c r="A27" s="25"/>
      <c r="B27" s="209" t="s">
        <v>33</v>
      </c>
      <c r="C27" s="47">
        <v>30</v>
      </c>
      <c r="D27" s="119">
        <f t="shared" ref="D27" si="0">C27*2500</f>
        <v>75000</v>
      </c>
      <c r="E27" s="58"/>
      <c r="F27" s="180"/>
    </row>
    <row r="28" spans="1:6" s="38" customFormat="1" x14ac:dyDescent="0.2">
      <c r="A28" s="25"/>
      <c r="B28" s="209" t="s">
        <v>35</v>
      </c>
      <c r="C28" s="54">
        <v>30</v>
      </c>
      <c r="D28" s="119">
        <f>C28*2000</f>
        <v>60000</v>
      </c>
      <c r="E28" s="58"/>
      <c r="F28" s="180"/>
    </row>
    <row r="29" spans="1:6" s="38" customFormat="1" ht="15" x14ac:dyDescent="0.25">
      <c r="A29" s="25"/>
      <c r="B29" s="209" t="s">
        <v>36</v>
      </c>
      <c r="C29" s="47">
        <v>2</v>
      </c>
      <c r="D29" s="119">
        <f>C29*5000</f>
        <v>10000</v>
      </c>
      <c r="E29" s="58"/>
      <c r="F29" s="180"/>
    </row>
    <row r="30" spans="1:6" s="38" customFormat="1" ht="15" x14ac:dyDescent="0.25">
      <c r="A30" s="25"/>
      <c r="B30" s="209" t="s">
        <v>37</v>
      </c>
      <c r="C30" s="47">
        <f>10</f>
        <v>10</v>
      </c>
      <c r="D30" s="119">
        <f>C30*3000</f>
        <v>30000</v>
      </c>
      <c r="E30" s="58"/>
      <c r="F30" s="180"/>
    </row>
    <row r="31" spans="1:6" s="38" customFormat="1" ht="15" x14ac:dyDescent="0.25">
      <c r="A31" s="25"/>
      <c r="B31" s="48" t="s">
        <v>38</v>
      </c>
      <c r="C31" s="47">
        <v>10</v>
      </c>
      <c r="D31" s="119">
        <f>C31*2500</f>
        <v>25000</v>
      </c>
      <c r="E31" s="58"/>
      <c r="F31" s="180"/>
    </row>
    <row r="32" spans="1:6" s="38" customFormat="1" x14ac:dyDescent="0.2">
      <c r="A32" s="25"/>
      <c r="B32" s="209" t="s">
        <v>39</v>
      </c>
      <c r="C32" s="54">
        <v>4</v>
      </c>
      <c r="D32" s="119">
        <f>C32*2000</f>
        <v>8000</v>
      </c>
      <c r="E32" s="58"/>
      <c r="F32" s="180"/>
    </row>
    <row r="33" spans="1:8" s="38" customFormat="1" x14ac:dyDescent="0.2">
      <c r="A33" s="25"/>
      <c r="B33" s="209" t="s">
        <v>40</v>
      </c>
      <c r="C33" s="54">
        <f>5</f>
        <v>5</v>
      </c>
      <c r="D33" s="119">
        <f>C33*3000</f>
        <v>15000</v>
      </c>
      <c r="E33" s="58"/>
      <c r="F33" s="180"/>
    </row>
    <row r="34" spans="1:8" s="38" customFormat="1" x14ac:dyDescent="0.2">
      <c r="A34" s="25"/>
      <c r="B34" s="209" t="s">
        <v>41</v>
      </c>
      <c r="C34" s="54">
        <v>10</v>
      </c>
      <c r="D34" s="119">
        <f>C34*2500</f>
        <v>25000</v>
      </c>
      <c r="E34" s="58"/>
      <c r="F34" s="180"/>
      <c r="H34" s="55"/>
    </row>
    <row r="35" spans="1:8" s="38" customFormat="1" x14ac:dyDescent="0.2">
      <c r="A35" s="25"/>
      <c r="B35" s="209" t="s">
        <v>42</v>
      </c>
      <c r="C35" s="54">
        <f>4</f>
        <v>4</v>
      </c>
      <c r="D35" s="119">
        <f>C35*2000</f>
        <v>8000</v>
      </c>
      <c r="E35" s="58"/>
      <c r="F35" s="180"/>
      <c r="H35" s="55"/>
    </row>
    <row r="36" spans="1:8" s="38" customFormat="1" x14ac:dyDescent="0.2">
      <c r="A36" s="25"/>
      <c r="B36" s="48" t="s">
        <v>43</v>
      </c>
      <c r="C36" s="54">
        <v>6</v>
      </c>
      <c r="D36" s="119">
        <f>C36*1200</f>
        <v>7200</v>
      </c>
      <c r="E36" s="58"/>
      <c r="F36" s="180"/>
    </row>
    <row r="37" spans="1:8" s="38" customFormat="1" ht="15" x14ac:dyDescent="0.25">
      <c r="A37" s="25"/>
      <c r="B37" s="48" t="s">
        <v>44</v>
      </c>
      <c r="C37" s="47">
        <v>4</v>
      </c>
      <c r="D37" s="119">
        <f>C37*2000</f>
        <v>8000</v>
      </c>
      <c r="E37" s="58"/>
      <c r="F37" s="180"/>
      <c r="H37" s="55"/>
    </row>
    <row r="38" spans="1:8" s="38" customFormat="1" ht="15" x14ac:dyDescent="0.25">
      <c r="A38" s="25"/>
      <c r="B38" s="48" t="s">
        <v>45</v>
      </c>
      <c r="C38" s="47">
        <f>5</f>
        <v>5</v>
      </c>
      <c r="D38" s="119">
        <f>C38*7500</f>
        <v>37500</v>
      </c>
      <c r="E38" s="113"/>
      <c r="F38" s="180"/>
    </row>
    <row r="39" spans="1:8" s="38" customFormat="1" ht="15" x14ac:dyDescent="0.25">
      <c r="A39" s="25"/>
      <c r="B39" s="48" t="s">
        <v>46</v>
      </c>
      <c r="C39" s="47">
        <v>2</v>
      </c>
      <c r="D39" s="119">
        <f>C39*9000</f>
        <v>18000</v>
      </c>
      <c r="E39" s="113"/>
      <c r="F39" s="180"/>
    </row>
    <row r="40" spans="1:8" s="38" customFormat="1" x14ac:dyDescent="0.2">
      <c r="A40" s="25"/>
      <c r="B40" s="209" t="s">
        <v>47</v>
      </c>
      <c r="C40" s="54">
        <v>5</v>
      </c>
      <c r="D40" s="119">
        <f>1500*C40</f>
        <v>7500</v>
      </c>
      <c r="E40" s="113"/>
      <c r="F40" s="180"/>
    </row>
    <row r="41" spans="1:8" s="38" customFormat="1" x14ac:dyDescent="0.2">
      <c r="A41" s="25"/>
      <c r="B41" s="209" t="s">
        <v>48</v>
      </c>
      <c r="C41" s="54">
        <f>20</f>
        <v>20</v>
      </c>
      <c r="D41" s="119">
        <f>800*C41</f>
        <v>16000</v>
      </c>
      <c r="E41" s="113"/>
      <c r="F41" s="180"/>
    </row>
    <row r="42" spans="1:8" s="38" customFormat="1" x14ac:dyDescent="0.2">
      <c r="A42" s="25"/>
      <c r="B42" s="48" t="s">
        <v>49</v>
      </c>
      <c r="C42" s="54"/>
      <c r="D42" s="119"/>
      <c r="E42" s="113"/>
      <c r="F42" s="180"/>
    </row>
    <row r="43" spans="1:8" s="38" customFormat="1" x14ac:dyDescent="0.2">
      <c r="A43" s="25"/>
      <c r="B43" s="48" t="s">
        <v>50</v>
      </c>
      <c r="C43" s="54">
        <v>4</v>
      </c>
      <c r="D43" s="119">
        <f>C43*3000</f>
        <v>12000</v>
      </c>
      <c r="E43" s="113"/>
      <c r="F43" s="180"/>
    </row>
    <row r="44" spans="1:8" s="38" customFormat="1" x14ac:dyDescent="0.2">
      <c r="A44" s="25"/>
      <c r="B44" s="48" t="s">
        <v>51</v>
      </c>
      <c r="C44" s="54">
        <v>2</v>
      </c>
      <c r="D44" s="119">
        <f>C44*4000</f>
        <v>8000</v>
      </c>
      <c r="E44" s="113"/>
      <c r="F44" s="180"/>
    </row>
    <row r="45" spans="1:8" s="38" customFormat="1" ht="15" x14ac:dyDescent="0.25">
      <c r="A45" s="25"/>
      <c r="B45" s="48" t="s">
        <v>52</v>
      </c>
      <c r="C45" s="47">
        <v>8</v>
      </c>
      <c r="D45" s="119">
        <f>C45*3000</f>
        <v>24000</v>
      </c>
      <c r="E45" s="113"/>
      <c r="F45" s="180"/>
    </row>
    <row r="46" spans="1:8" s="38" customFormat="1" x14ac:dyDescent="0.2">
      <c r="A46" s="25"/>
      <c r="B46" s="209" t="s">
        <v>53</v>
      </c>
      <c r="C46" s="54">
        <v>10</v>
      </c>
      <c r="D46" s="119">
        <f>C46*3000</f>
        <v>30000</v>
      </c>
      <c r="E46" s="113"/>
      <c r="F46" s="180"/>
    </row>
    <row r="47" spans="1:8" s="38" customFormat="1" ht="15.75" thickBot="1" x14ac:dyDescent="0.3">
      <c r="A47" s="187"/>
      <c r="B47" s="188" t="s">
        <v>54</v>
      </c>
      <c r="C47" s="120">
        <v>10</v>
      </c>
      <c r="D47" s="189">
        <f>C47*4500</f>
        <v>45000</v>
      </c>
      <c r="E47" s="190"/>
      <c r="F47" s="191"/>
    </row>
    <row r="48" spans="1:8" ht="13.5" thickBot="1" x14ac:dyDescent="0.25">
      <c r="A48" s="171"/>
      <c r="B48" s="172" t="s">
        <v>154</v>
      </c>
      <c r="C48" s="173">
        <f>SUM(C14:C47)</f>
        <v>262</v>
      </c>
      <c r="D48" s="173">
        <f t="shared" ref="D48:F48" si="1">SUM(D14:D47)</f>
        <v>711200</v>
      </c>
      <c r="E48" s="173">
        <f t="shared" si="1"/>
        <v>0</v>
      </c>
      <c r="F48" s="174">
        <f t="shared" si="1"/>
        <v>0</v>
      </c>
      <c r="H48" s="5"/>
    </row>
    <row r="49" spans="1:8" s="38" customFormat="1" x14ac:dyDescent="0.2">
      <c r="A49" s="175" t="s">
        <v>6</v>
      </c>
      <c r="B49" s="194" t="s">
        <v>61</v>
      </c>
      <c r="C49" s="177"/>
      <c r="D49" s="178"/>
      <c r="E49" s="177"/>
      <c r="F49" s="179"/>
    </row>
    <row r="50" spans="1:8" s="38" customFormat="1" ht="15" x14ac:dyDescent="0.25">
      <c r="A50" s="25"/>
      <c r="B50" s="48" t="s">
        <v>64</v>
      </c>
      <c r="C50" s="47">
        <v>8</v>
      </c>
      <c r="D50" s="119">
        <f>C50*8000</f>
        <v>64000</v>
      </c>
      <c r="E50" s="58"/>
      <c r="F50" s="180"/>
      <c r="H50" s="55"/>
    </row>
    <row r="51" spans="1:8" s="38" customFormat="1" ht="15" x14ac:dyDescent="0.25">
      <c r="A51" s="25"/>
      <c r="B51" s="48" t="s">
        <v>65</v>
      </c>
      <c r="C51" s="47">
        <v>2</v>
      </c>
      <c r="D51" s="119">
        <f>C51*18000</f>
        <v>36000</v>
      </c>
      <c r="E51" s="58"/>
      <c r="F51" s="180"/>
    </row>
    <row r="52" spans="1:8" s="38" customFormat="1" ht="15" x14ac:dyDescent="0.25">
      <c r="A52" s="25"/>
      <c r="B52" s="193" t="s">
        <v>66</v>
      </c>
      <c r="C52" s="47">
        <v>1</v>
      </c>
      <c r="D52" s="119">
        <f>C52*3000</f>
        <v>3000</v>
      </c>
      <c r="E52" s="113"/>
      <c r="F52" s="180"/>
    </row>
    <row r="53" spans="1:8" s="38" customFormat="1" ht="15" x14ac:dyDescent="0.25">
      <c r="A53" s="25"/>
      <c r="B53" s="48" t="s">
        <v>67</v>
      </c>
      <c r="C53" s="47">
        <v>6</v>
      </c>
      <c r="D53" s="119">
        <f>C53*6000</f>
        <v>36000</v>
      </c>
      <c r="E53" s="113"/>
      <c r="F53" s="180"/>
    </row>
    <row r="54" spans="1:8" s="38" customFormat="1" x14ac:dyDescent="0.2">
      <c r="A54" s="25"/>
      <c r="B54" s="48" t="s">
        <v>68</v>
      </c>
      <c r="C54" s="54">
        <v>1</v>
      </c>
      <c r="D54" s="119">
        <f>C54*8000</f>
        <v>8000</v>
      </c>
      <c r="E54" s="113"/>
      <c r="F54" s="180"/>
    </row>
    <row r="55" spans="1:8" s="38" customFormat="1" x14ac:dyDescent="0.2">
      <c r="A55" s="143"/>
      <c r="B55" s="48" t="s">
        <v>69</v>
      </c>
      <c r="C55" s="54"/>
      <c r="D55" s="119">
        <f>C55*5000</f>
        <v>0</v>
      </c>
      <c r="E55" s="113"/>
      <c r="F55" s="180"/>
    </row>
    <row r="56" spans="1:8" s="38" customFormat="1" x14ac:dyDescent="0.2">
      <c r="A56" s="143"/>
      <c r="B56" s="48" t="s">
        <v>70</v>
      </c>
      <c r="C56" s="54"/>
      <c r="D56" s="119"/>
      <c r="E56" s="58"/>
      <c r="F56" s="180"/>
    </row>
    <row r="57" spans="1:8" s="38" customFormat="1" x14ac:dyDescent="0.2">
      <c r="A57" s="143"/>
      <c r="B57" s="48" t="s">
        <v>71</v>
      </c>
      <c r="C57" s="54">
        <v>1</v>
      </c>
      <c r="D57" s="119">
        <f>C57*10000</f>
        <v>10000</v>
      </c>
      <c r="E57" s="113"/>
      <c r="F57" s="180"/>
    </row>
    <row r="58" spans="1:8" s="38" customFormat="1" x14ac:dyDescent="0.2">
      <c r="A58" s="143"/>
      <c r="B58" s="48" t="s">
        <v>72</v>
      </c>
      <c r="C58" s="54"/>
      <c r="D58" s="119"/>
      <c r="E58" s="113"/>
      <c r="F58" s="180"/>
    </row>
    <row r="59" spans="1:8" s="38" customFormat="1" ht="13.5" thickBot="1" x14ac:dyDescent="0.25">
      <c r="A59" s="195"/>
      <c r="B59" s="182" t="s">
        <v>73</v>
      </c>
      <c r="C59" s="200">
        <v>1</v>
      </c>
      <c r="D59" s="184">
        <f>660000+34500</f>
        <v>694500</v>
      </c>
      <c r="E59" s="196"/>
      <c r="F59" s="186"/>
    </row>
    <row r="60" spans="1:8" ht="13.5" thickBot="1" x14ac:dyDescent="0.25">
      <c r="A60" s="99"/>
      <c r="B60" s="258" t="s">
        <v>156</v>
      </c>
      <c r="C60" s="107">
        <f>SUM(C50:C59)</f>
        <v>20</v>
      </c>
      <c r="D60" s="107">
        <f>SUM(D50:D59)</f>
        <v>851500</v>
      </c>
      <c r="E60" s="107">
        <f>SUM(E50:E59)</f>
        <v>0</v>
      </c>
      <c r="F60" s="107">
        <f>SUM(F50:F59)</f>
        <v>0</v>
      </c>
      <c r="H60" s="5"/>
    </row>
    <row r="61" spans="1:8" x14ac:dyDescent="0.2">
      <c r="A61" s="175" t="s">
        <v>7</v>
      </c>
      <c r="B61" s="176" t="s">
        <v>74</v>
      </c>
      <c r="C61" s="177"/>
      <c r="D61" s="178"/>
      <c r="E61" s="177"/>
      <c r="F61" s="179"/>
      <c r="H61" s="5"/>
    </row>
    <row r="62" spans="1:8" s="38" customFormat="1" ht="15" x14ac:dyDescent="0.25">
      <c r="A62" s="25"/>
      <c r="B62" s="135" t="s">
        <v>75</v>
      </c>
      <c r="C62" s="47"/>
      <c r="D62" s="119">
        <f>C62*130000</f>
        <v>0</v>
      </c>
      <c r="E62" s="113"/>
      <c r="F62" s="180"/>
    </row>
    <row r="63" spans="1:8" s="38" customFormat="1" x14ac:dyDescent="0.2">
      <c r="A63" s="25"/>
      <c r="B63" s="135" t="s">
        <v>76</v>
      </c>
      <c r="C63" s="54">
        <v>3</v>
      </c>
      <c r="D63" s="119">
        <f>C63*15000</f>
        <v>45000</v>
      </c>
      <c r="E63" s="113"/>
      <c r="F63" s="180"/>
    </row>
    <row r="64" spans="1:8" s="38" customFormat="1" x14ac:dyDescent="0.2">
      <c r="A64" s="25"/>
      <c r="B64" s="135" t="s">
        <v>77</v>
      </c>
      <c r="C64" s="54">
        <v>5</v>
      </c>
      <c r="D64" s="119">
        <f>C64*3000</f>
        <v>15000</v>
      </c>
      <c r="E64" s="113"/>
      <c r="F64" s="180"/>
    </row>
    <row r="65" spans="1:8" s="38" customFormat="1" x14ac:dyDescent="0.2">
      <c r="A65" s="25"/>
      <c r="B65" s="135" t="s">
        <v>78</v>
      </c>
      <c r="C65" s="54">
        <v>4</v>
      </c>
      <c r="D65" s="119">
        <f>C65*2500</f>
        <v>10000</v>
      </c>
      <c r="E65" s="113"/>
      <c r="F65" s="180"/>
    </row>
    <row r="66" spans="1:8" s="38" customFormat="1" x14ac:dyDescent="0.2">
      <c r="A66" s="25"/>
      <c r="B66" s="135" t="s">
        <v>79</v>
      </c>
      <c r="C66" s="54">
        <f>3</f>
        <v>3</v>
      </c>
      <c r="D66" s="119">
        <f>C66*8000</f>
        <v>24000</v>
      </c>
      <c r="E66" s="58"/>
      <c r="F66" s="180"/>
    </row>
    <row r="67" spans="1:8" s="38" customFormat="1" x14ac:dyDescent="0.2">
      <c r="A67" s="25"/>
      <c r="B67" s="135" t="s">
        <v>80</v>
      </c>
      <c r="C67" s="54"/>
      <c r="D67" s="119"/>
      <c r="E67" s="58"/>
      <c r="F67" s="180"/>
    </row>
    <row r="68" spans="1:8" s="38" customFormat="1" x14ac:dyDescent="0.2">
      <c r="A68" s="25"/>
      <c r="B68" s="135" t="s">
        <v>81</v>
      </c>
      <c r="C68" s="54"/>
      <c r="D68" s="119"/>
      <c r="E68" s="58"/>
      <c r="F68" s="180"/>
    </row>
    <row r="69" spans="1:8" s="38" customFormat="1" x14ac:dyDescent="0.2">
      <c r="A69" s="25"/>
      <c r="B69" s="135" t="s">
        <v>82</v>
      </c>
      <c r="C69" s="54"/>
      <c r="D69" s="119"/>
      <c r="E69" s="58"/>
      <c r="F69" s="180"/>
    </row>
    <row r="70" spans="1:8" s="38" customFormat="1" x14ac:dyDescent="0.2">
      <c r="A70" s="25"/>
      <c r="B70" s="135" t="s">
        <v>83</v>
      </c>
      <c r="C70" s="54">
        <f>4</f>
        <v>4</v>
      </c>
      <c r="D70" s="119">
        <f>2500*C70</f>
        <v>10000</v>
      </c>
      <c r="E70" s="58"/>
      <c r="F70" s="180"/>
    </row>
    <row r="71" spans="1:8" s="38" customFormat="1" x14ac:dyDescent="0.2">
      <c r="A71" s="25"/>
      <c r="B71" s="135" t="s">
        <v>84</v>
      </c>
      <c r="C71" s="54"/>
      <c r="D71" s="119"/>
      <c r="E71" s="58"/>
      <c r="F71" s="180"/>
    </row>
    <row r="72" spans="1:8" s="38" customFormat="1" ht="13.5" thickBot="1" x14ac:dyDescent="0.25">
      <c r="A72" s="187"/>
      <c r="B72" s="201" t="s">
        <v>85</v>
      </c>
      <c r="C72" s="202"/>
      <c r="D72" s="189"/>
      <c r="E72" s="190"/>
      <c r="F72" s="191"/>
    </row>
    <row r="73" spans="1:8" ht="13.5" thickBot="1" x14ac:dyDescent="0.25">
      <c r="A73" s="171"/>
      <c r="B73" s="172" t="s">
        <v>157</v>
      </c>
      <c r="C73" s="173">
        <f>SUM(C62:C72)</f>
        <v>19</v>
      </c>
      <c r="D73" s="173">
        <f t="shared" ref="D73:F73" si="2">SUM(D62:D72)</f>
        <v>104000</v>
      </c>
      <c r="E73" s="173">
        <f t="shared" si="2"/>
        <v>0</v>
      </c>
      <c r="F73" s="174">
        <f t="shared" si="2"/>
        <v>0</v>
      </c>
      <c r="H73" s="5"/>
    </row>
    <row r="74" spans="1:8" x14ac:dyDescent="0.2">
      <c r="A74" s="175" t="s">
        <v>8</v>
      </c>
      <c r="B74" s="194" t="s">
        <v>86</v>
      </c>
      <c r="C74" s="177"/>
      <c r="D74" s="178"/>
      <c r="E74" s="177"/>
      <c r="F74" s="179"/>
      <c r="H74" s="5"/>
    </row>
    <row r="75" spans="1:8" s="38" customFormat="1" x14ac:dyDescent="0.2">
      <c r="A75" s="25"/>
      <c r="B75" s="193" t="s">
        <v>87</v>
      </c>
      <c r="C75" s="54">
        <v>1</v>
      </c>
      <c r="D75" s="119">
        <f>C75*5000</f>
        <v>5000</v>
      </c>
      <c r="E75" s="113"/>
      <c r="F75" s="180"/>
    </row>
    <row r="76" spans="1:8" s="38" customFormat="1" ht="26.25" thickBot="1" x14ac:dyDescent="0.25">
      <c r="A76" s="181"/>
      <c r="B76" s="203" t="s">
        <v>88</v>
      </c>
      <c r="C76" s="200">
        <f>5</f>
        <v>5</v>
      </c>
      <c r="D76" s="184">
        <f>6000*C76</f>
        <v>30000</v>
      </c>
      <c r="E76" s="196"/>
      <c r="F76" s="186"/>
    </row>
    <row r="77" spans="1:8" ht="13.5" thickBot="1" x14ac:dyDescent="0.25">
      <c r="A77" s="299"/>
      <c r="B77" s="255" t="s">
        <v>158</v>
      </c>
      <c r="C77" s="256">
        <f>SUM(C75:C76)</f>
        <v>6</v>
      </c>
      <c r="D77" s="256">
        <f t="shared" ref="D77:F77" si="3">SUM(D75:D76)</f>
        <v>35000</v>
      </c>
      <c r="E77" s="256">
        <f t="shared" si="3"/>
        <v>0</v>
      </c>
      <c r="F77" s="256">
        <f t="shared" si="3"/>
        <v>0</v>
      </c>
      <c r="H77" s="5"/>
    </row>
    <row r="78" spans="1:8" x14ac:dyDescent="0.2">
      <c r="A78" s="175" t="s">
        <v>9</v>
      </c>
      <c r="B78" s="176" t="s">
        <v>90</v>
      </c>
      <c r="C78" s="177"/>
      <c r="D78" s="178"/>
      <c r="E78" s="177"/>
      <c r="F78" s="179"/>
      <c r="H78" s="5"/>
    </row>
    <row r="79" spans="1:8" s="38" customFormat="1" ht="15" x14ac:dyDescent="0.25">
      <c r="A79" s="25"/>
      <c r="B79" s="205" t="s">
        <v>91</v>
      </c>
      <c r="C79" s="47">
        <v>1</v>
      </c>
      <c r="D79" s="119">
        <f>C79*550000</f>
        <v>550000</v>
      </c>
      <c r="E79" s="113"/>
      <c r="F79" s="180"/>
    </row>
    <row r="80" spans="1:8" s="38" customFormat="1" ht="15" x14ac:dyDescent="0.25">
      <c r="A80" s="25"/>
      <c r="B80" s="205" t="s">
        <v>92</v>
      </c>
      <c r="C80" s="47">
        <v>1</v>
      </c>
      <c r="D80" s="119">
        <f>C80*450000</f>
        <v>450000</v>
      </c>
      <c r="E80" s="113"/>
      <c r="F80" s="180"/>
    </row>
    <row r="81" spans="1:8" s="38" customFormat="1" ht="15" x14ac:dyDescent="0.25">
      <c r="A81" s="25"/>
      <c r="B81" s="205" t="s">
        <v>93</v>
      </c>
      <c r="C81" s="47">
        <v>1</v>
      </c>
      <c r="D81" s="119">
        <f>C81*15000</f>
        <v>15000</v>
      </c>
      <c r="E81" s="113"/>
      <c r="F81" s="180"/>
    </row>
    <row r="82" spans="1:8" s="38" customFormat="1" x14ac:dyDescent="0.2">
      <c r="A82" s="25"/>
      <c r="B82" s="205" t="s">
        <v>94</v>
      </c>
      <c r="C82" s="54">
        <v>2</v>
      </c>
      <c r="D82" s="119">
        <f>C82*130000</f>
        <v>260000</v>
      </c>
      <c r="E82" s="113"/>
      <c r="F82" s="180"/>
    </row>
    <row r="83" spans="1:8" s="38" customFormat="1" ht="15" x14ac:dyDescent="0.25">
      <c r="A83" s="25"/>
      <c r="B83" s="48" t="s">
        <v>95</v>
      </c>
      <c r="C83" s="47">
        <v>2</v>
      </c>
      <c r="D83" s="119">
        <f>C83*5000</f>
        <v>10000</v>
      </c>
      <c r="E83" s="58"/>
      <c r="F83" s="180"/>
    </row>
    <row r="84" spans="1:8" s="141" customFormat="1" ht="15" customHeight="1" x14ac:dyDescent="0.2">
      <c r="A84" s="25"/>
      <c r="B84" s="205" t="s">
        <v>96</v>
      </c>
      <c r="C84" s="54">
        <v>2</v>
      </c>
      <c r="D84" s="119">
        <f>C84*5000</f>
        <v>10000</v>
      </c>
      <c r="E84" s="113"/>
      <c r="F84" s="180"/>
    </row>
    <row r="85" spans="1:8" s="141" customFormat="1" ht="15" customHeight="1" x14ac:dyDescent="0.25">
      <c r="A85" s="25"/>
      <c r="B85" s="205" t="s">
        <v>97</v>
      </c>
      <c r="C85" s="47">
        <v>5</v>
      </c>
      <c r="D85" s="119">
        <f>C85*7000</f>
        <v>35000</v>
      </c>
      <c r="E85" s="113"/>
      <c r="F85" s="180"/>
    </row>
    <row r="86" spans="1:8" s="141" customFormat="1" ht="15" customHeight="1" x14ac:dyDescent="0.25">
      <c r="A86" s="25"/>
      <c r="B86" s="205" t="s">
        <v>98</v>
      </c>
      <c r="C86" s="47">
        <v>2</v>
      </c>
      <c r="D86" s="119">
        <f>C86*8000</f>
        <v>16000</v>
      </c>
      <c r="E86" s="113"/>
      <c r="F86" s="180"/>
    </row>
    <row r="87" spans="1:8" s="38" customFormat="1" ht="15" x14ac:dyDescent="0.25">
      <c r="A87" s="25"/>
      <c r="B87" s="205" t="s">
        <v>99</v>
      </c>
      <c r="C87" s="47">
        <v>3</v>
      </c>
      <c r="D87" s="119">
        <f>C87*8000</f>
        <v>24000</v>
      </c>
      <c r="E87" s="113"/>
      <c r="F87" s="180"/>
    </row>
    <row r="88" spans="1:8" s="141" customFormat="1" ht="15" customHeight="1" x14ac:dyDescent="0.25">
      <c r="A88" s="25"/>
      <c r="B88" s="205" t="s">
        <v>100</v>
      </c>
      <c r="C88" s="47">
        <v>0</v>
      </c>
      <c r="D88" s="119">
        <f>C88*25000</f>
        <v>0</v>
      </c>
      <c r="E88" s="113"/>
      <c r="F88" s="180"/>
    </row>
    <row r="89" spans="1:8" s="141" customFormat="1" ht="15" customHeight="1" x14ac:dyDescent="0.2">
      <c r="A89" s="25"/>
      <c r="B89" s="205" t="s">
        <v>101</v>
      </c>
      <c r="C89" s="54">
        <v>10</v>
      </c>
      <c r="D89" s="119">
        <f>C89*1500</f>
        <v>15000</v>
      </c>
      <c r="E89" s="113"/>
      <c r="F89" s="180"/>
    </row>
    <row r="90" spans="1:8" s="38" customFormat="1" ht="15" x14ac:dyDescent="0.25">
      <c r="A90" s="25"/>
      <c r="B90" s="205" t="s">
        <v>102</v>
      </c>
      <c r="C90" s="47">
        <v>10</v>
      </c>
      <c r="D90" s="119">
        <f>C90*35000</f>
        <v>350000</v>
      </c>
      <c r="E90" s="58"/>
      <c r="F90" s="180"/>
    </row>
    <row r="91" spans="1:8" s="141" customFormat="1" ht="15" customHeight="1" thickBot="1" x14ac:dyDescent="0.25">
      <c r="A91" s="181"/>
      <c r="B91" s="182" t="s">
        <v>103</v>
      </c>
      <c r="C91" s="200"/>
      <c r="D91" s="184"/>
      <c r="E91" s="185"/>
      <c r="F91" s="186"/>
    </row>
    <row r="92" spans="1:8" ht="13.5" thickBot="1" x14ac:dyDescent="0.25">
      <c r="A92" s="99"/>
      <c r="B92" s="258" t="s">
        <v>159</v>
      </c>
      <c r="C92" s="234">
        <f>SUM(C79:C91)</f>
        <v>39</v>
      </c>
      <c r="D92" s="234">
        <f>SUM(D79:D91)</f>
        <v>1735000</v>
      </c>
      <c r="E92" s="234">
        <f>SUM(E79:E91)</f>
        <v>0</v>
      </c>
      <c r="F92" s="234">
        <f>SUM(F79:F91)</f>
        <v>0</v>
      </c>
      <c r="H92" s="5"/>
    </row>
    <row r="93" spans="1:8" x14ac:dyDescent="0.2">
      <c r="A93" s="210" t="s">
        <v>10</v>
      </c>
      <c r="B93" s="211" t="s">
        <v>104</v>
      </c>
      <c r="C93" s="177"/>
      <c r="D93" s="178"/>
      <c r="E93" s="177"/>
      <c r="F93" s="179"/>
      <c r="H93" s="5"/>
    </row>
    <row r="94" spans="1:8" s="141" customFormat="1" ht="15" x14ac:dyDescent="0.25">
      <c r="A94" s="143"/>
      <c r="B94" s="205" t="s">
        <v>105</v>
      </c>
      <c r="C94" s="47"/>
      <c r="D94" s="119"/>
      <c r="E94" s="58"/>
      <c r="F94" s="180"/>
    </row>
    <row r="95" spans="1:8" s="38" customFormat="1" ht="15" x14ac:dyDescent="0.25">
      <c r="A95" s="25"/>
      <c r="B95" s="48" t="s">
        <v>106</v>
      </c>
      <c r="C95" s="47"/>
      <c r="D95" s="119"/>
      <c r="E95" s="58"/>
      <c r="F95" s="180"/>
    </row>
    <row r="96" spans="1:8" s="38" customFormat="1" x14ac:dyDescent="0.2">
      <c r="A96" s="25"/>
      <c r="B96" s="48" t="s">
        <v>107</v>
      </c>
      <c r="C96" s="54"/>
      <c r="D96" s="119"/>
      <c r="E96" s="58"/>
      <c r="F96" s="180"/>
    </row>
    <row r="97" spans="1:6" s="38" customFormat="1" ht="15" x14ac:dyDescent="0.25">
      <c r="A97" s="25"/>
      <c r="B97" s="208" t="s">
        <v>109</v>
      </c>
      <c r="C97" s="47"/>
      <c r="D97" s="119"/>
      <c r="E97" s="58"/>
      <c r="F97" s="180"/>
    </row>
    <row r="98" spans="1:6" s="38" customFormat="1" ht="15" x14ac:dyDescent="0.25">
      <c r="A98" s="25"/>
      <c r="B98" s="208" t="s">
        <v>111</v>
      </c>
      <c r="C98" s="47"/>
      <c r="D98" s="119"/>
      <c r="E98" s="58"/>
      <c r="F98" s="180"/>
    </row>
    <row r="99" spans="1:6" s="38" customFormat="1" x14ac:dyDescent="0.2">
      <c r="A99" s="25"/>
      <c r="B99" s="208" t="s">
        <v>113</v>
      </c>
      <c r="C99" s="54"/>
      <c r="D99" s="119"/>
      <c r="E99" s="58"/>
      <c r="F99" s="180"/>
    </row>
    <row r="100" spans="1:6" s="38" customFormat="1" x14ac:dyDescent="0.2">
      <c r="A100" s="25"/>
      <c r="B100" s="208" t="s">
        <v>115</v>
      </c>
      <c r="C100" s="54"/>
      <c r="D100" s="119"/>
      <c r="E100" s="113"/>
      <c r="F100" s="180"/>
    </row>
    <row r="101" spans="1:6" s="38" customFormat="1" x14ac:dyDescent="0.2">
      <c r="A101" s="25"/>
      <c r="B101" s="208" t="s">
        <v>279</v>
      </c>
      <c r="C101" s="54"/>
      <c r="D101" s="119"/>
      <c r="E101" s="113"/>
      <c r="F101" s="180"/>
    </row>
    <row r="102" spans="1:6" s="38" customFormat="1" x14ac:dyDescent="0.2">
      <c r="A102" s="25"/>
      <c r="B102" s="205" t="s">
        <v>116</v>
      </c>
      <c r="C102" s="54"/>
      <c r="D102" s="119"/>
      <c r="E102" s="113"/>
      <c r="F102" s="180"/>
    </row>
    <row r="103" spans="1:6" s="141" customFormat="1" x14ac:dyDescent="0.2">
      <c r="A103" s="25"/>
      <c r="B103" s="208" t="s">
        <v>117</v>
      </c>
      <c r="C103" s="54"/>
      <c r="D103" s="119"/>
      <c r="E103" s="113"/>
      <c r="F103" s="180"/>
    </row>
    <row r="104" spans="1:6" s="38" customFormat="1" x14ac:dyDescent="0.2">
      <c r="A104" s="25"/>
      <c r="B104" s="48" t="s">
        <v>118</v>
      </c>
      <c r="C104" s="54"/>
      <c r="D104" s="119"/>
      <c r="E104" s="113"/>
      <c r="F104" s="180"/>
    </row>
    <row r="105" spans="1:6" s="141" customFormat="1" x14ac:dyDescent="0.2">
      <c r="A105" s="143"/>
      <c r="B105" s="205" t="s">
        <v>119</v>
      </c>
      <c r="C105" s="54"/>
      <c r="D105" s="119"/>
      <c r="E105" s="58"/>
      <c r="F105" s="180"/>
    </row>
    <row r="106" spans="1:6" s="141" customFormat="1" x14ac:dyDescent="0.2">
      <c r="A106" s="143"/>
      <c r="B106" s="48" t="s">
        <v>120</v>
      </c>
      <c r="C106" s="54"/>
      <c r="D106" s="119"/>
      <c r="E106" s="58"/>
      <c r="F106" s="180"/>
    </row>
    <row r="107" spans="1:6" s="38" customFormat="1" x14ac:dyDescent="0.2">
      <c r="A107" s="25"/>
      <c r="B107" s="320" t="s">
        <v>122</v>
      </c>
      <c r="C107" s="54"/>
      <c r="D107" s="119"/>
      <c r="E107" s="58"/>
      <c r="F107" s="180"/>
    </row>
    <row r="108" spans="1:6" s="38" customFormat="1" ht="25.5" x14ac:dyDescent="0.2">
      <c r="A108" s="25"/>
      <c r="B108" s="209" t="s">
        <v>124</v>
      </c>
      <c r="C108" s="54"/>
      <c r="D108" s="119"/>
      <c r="E108" s="58"/>
      <c r="F108" s="180"/>
    </row>
    <row r="109" spans="1:6" s="38" customFormat="1" x14ac:dyDescent="0.2">
      <c r="A109" s="25"/>
      <c r="B109" s="320" t="s">
        <v>126</v>
      </c>
      <c r="C109" s="54"/>
      <c r="D109" s="119"/>
      <c r="E109" s="58"/>
      <c r="F109" s="180"/>
    </row>
    <row r="110" spans="1:6" s="38" customFormat="1" x14ac:dyDescent="0.2">
      <c r="A110" s="25"/>
      <c r="B110" s="320" t="s">
        <v>128</v>
      </c>
      <c r="C110" s="54"/>
      <c r="D110" s="119"/>
      <c r="E110" s="58"/>
      <c r="F110" s="180"/>
    </row>
    <row r="111" spans="1:6" s="38" customFormat="1" x14ac:dyDescent="0.2">
      <c r="A111" s="25"/>
      <c r="B111" s="320" t="s">
        <v>130</v>
      </c>
      <c r="C111" s="54"/>
      <c r="D111" s="119"/>
      <c r="E111" s="58"/>
      <c r="F111" s="180"/>
    </row>
    <row r="112" spans="1:6" s="38" customFormat="1" x14ac:dyDescent="0.2">
      <c r="A112" s="25"/>
      <c r="B112" s="320" t="s">
        <v>280</v>
      </c>
      <c r="C112" s="54"/>
      <c r="D112" s="119"/>
      <c r="E112" s="58"/>
      <c r="F112" s="180"/>
    </row>
    <row r="113" spans="1:6" s="38" customFormat="1" x14ac:dyDescent="0.2">
      <c r="A113" s="25"/>
      <c r="B113" s="320" t="s">
        <v>133</v>
      </c>
      <c r="C113" s="54"/>
      <c r="D113" s="119"/>
      <c r="E113" s="58"/>
      <c r="F113" s="180"/>
    </row>
    <row r="114" spans="1:6" s="141" customFormat="1" ht="13.5" customHeight="1" x14ac:dyDescent="0.2">
      <c r="A114" s="25"/>
      <c r="B114" s="208" t="s">
        <v>134</v>
      </c>
      <c r="C114" s="54"/>
      <c r="D114" s="119"/>
      <c r="E114" s="58"/>
      <c r="F114" s="180"/>
    </row>
    <row r="115" spans="1:6" s="141" customFormat="1" ht="13.5" customHeight="1" x14ac:dyDescent="0.2">
      <c r="A115" s="25"/>
      <c r="B115" s="208" t="s">
        <v>135</v>
      </c>
      <c r="C115" s="54"/>
      <c r="D115" s="119"/>
      <c r="E115" s="58"/>
      <c r="F115" s="180"/>
    </row>
    <row r="116" spans="1:6" s="141" customFormat="1" ht="25.5" x14ac:dyDescent="0.2">
      <c r="A116" s="25"/>
      <c r="B116" s="208" t="s">
        <v>136</v>
      </c>
      <c r="C116" s="54"/>
      <c r="D116" s="119"/>
      <c r="E116" s="58"/>
      <c r="F116" s="180"/>
    </row>
    <row r="117" spans="1:6" s="38" customFormat="1" x14ac:dyDescent="0.2">
      <c r="A117" s="25"/>
      <c r="B117" s="205" t="s">
        <v>137</v>
      </c>
      <c r="C117" s="54"/>
      <c r="D117" s="119"/>
      <c r="E117" s="113"/>
      <c r="F117" s="180"/>
    </row>
    <row r="118" spans="1:6" s="38" customFormat="1" x14ac:dyDescent="0.2">
      <c r="A118" s="25"/>
      <c r="B118" s="205" t="s">
        <v>138</v>
      </c>
      <c r="C118" s="54"/>
      <c r="D118" s="119"/>
      <c r="E118" s="113"/>
      <c r="F118" s="180"/>
    </row>
    <row r="119" spans="1:6" s="38" customFormat="1" x14ac:dyDescent="0.2">
      <c r="A119" s="25"/>
      <c r="B119" s="48" t="s">
        <v>139</v>
      </c>
      <c r="C119" s="54"/>
      <c r="D119" s="119"/>
      <c r="E119" s="113"/>
      <c r="F119" s="180"/>
    </row>
    <row r="120" spans="1:6" s="38" customFormat="1" x14ac:dyDescent="0.2">
      <c r="A120" s="25"/>
      <c r="B120" s="48" t="s">
        <v>140</v>
      </c>
      <c r="C120" s="54"/>
      <c r="D120" s="119"/>
      <c r="E120" s="113"/>
      <c r="F120" s="180"/>
    </row>
    <row r="121" spans="1:6" s="38" customFormat="1" x14ac:dyDescent="0.2">
      <c r="A121" s="25"/>
      <c r="B121" s="48" t="s">
        <v>141</v>
      </c>
      <c r="C121" s="54"/>
      <c r="D121" s="119"/>
      <c r="E121" s="113"/>
      <c r="F121" s="180"/>
    </row>
    <row r="122" spans="1:6" s="38" customFormat="1" x14ac:dyDescent="0.2">
      <c r="A122" s="25"/>
      <c r="B122" s="48" t="s">
        <v>142</v>
      </c>
      <c r="C122" s="54"/>
      <c r="D122" s="119"/>
      <c r="E122" s="113"/>
      <c r="F122" s="180"/>
    </row>
    <row r="123" spans="1:6" s="38" customFormat="1" x14ac:dyDescent="0.2">
      <c r="A123" s="25"/>
      <c r="B123" s="205" t="s">
        <v>143</v>
      </c>
      <c r="C123" s="54"/>
      <c r="D123" s="119"/>
      <c r="E123" s="113"/>
      <c r="F123" s="180"/>
    </row>
    <row r="124" spans="1:6" s="38" customFormat="1" x14ac:dyDescent="0.2">
      <c r="A124" s="25"/>
      <c r="B124" s="48" t="s">
        <v>144</v>
      </c>
      <c r="C124" s="54"/>
      <c r="D124" s="119"/>
      <c r="E124" s="58"/>
      <c r="F124" s="180"/>
    </row>
    <row r="125" spans="1:6" s="38" customFormat="1" ht="38.25" x14ac:dyDescent="0.2">
      <c r="A125" s="25"/>
      <c r="B125" s="205" t="s">
        <v>145</v>
      </c>
      <c r="C125" s="54"/>
      <c r="D125" s="119"/>
      <c r="E125" s="113"/>
      <c r="F125" s="180"/>
    </row>
    <row r="126" spans="1:6" s="38" customFormat="1" x14ac:dyDescent="0.2">
      <c r="A126" s="25"/>
      <c r="B126" s="205" t="s">
        <v>146</v>
      </c>
      <c r="C126" s="54"/>
      <c r="D126" s="119"/>
      <c r="E126" s="113"/>
      <c r="F126" s="180"/>
    </row>
    <row r="127" spans="1:6" s="38" customFormat="1" x14ac:dyDescent="0.2">
      <c r="A127" s="25"/>
      <c r="B127" s="205" t="s">
        <v>147</v>
      </c>
      <c r="C127" s="54"/>
      <c r="D127" s="119"/>
      <c r="E127" s="113"/>
      <c r="F127" s="180"/>
    </row>
    <row r="128" spans="1:6" s="38" customFormat="1" x14ac:dyDescent="0.2">
      <c r="A128" s="25"/>
      <c r="B128" s="205" t="s">
        <v>148</v>
      </c>
      <c r="C128" s="54"/>
      <c r="D128" s="119"/>
      <c r="E128" s="113"/>
      <c r="F128" s="180"/>
    </row>
    <row r="129" spans="1:8" s="53" customFormat="1" x14ac:dyDescent="0.2">
      <c r="A129" s="25"/>
      <c r="B129" s="205" t="s">
        <v>149</v>
      </c>
      <c r="C129" s="54"/>
      <c r="D129" s="119"/>
      <c r="E129" s="113"/>
      <c r="F129" s="180"/>
    </row>
    <row r="130" spans="1:8" s="38" customFormat="1" x14ac:dyDescent="0.2">
      <c r="A130" s="25"/>
      <c r="B130" s="205" t="s">
        <v>150</v>
      </c>
      <c r="C130" s="54"/>
      <c r="D130" s="119"/>
      <c r="E130" s="58"/>
      <c r="F130" s="180"/>
    </row>
    <row r="131" spans="1:8" s="38" customFormat="1" x14ac:dyDescent="0.2">
      <c r="A131" s="25"/>
      <c r="B131" s="205" t="s">
        <v>151</v>
      </c>
      <c r="C131" s="54"/>
      <c r="D131" s="119"/>
      <c r="E131" s="58"/>
      <c r="F131" s="180"/>
    </row>
    <row r="132" spans="1:8" s="38" customFormat="1" ht="15.75" thickBot="1" x14ac:dyDescent="0.3">
      <c r="A132" s="187"/>
      <c r="B132" s="188" t="s">
        <v>152</v>
      </c>
      <c r="C132" s="120">
        <f>2</f>
        <v>2</v>
      </c>
      <c r="D132" s="189">
        <f>C132*60000</f>
        <v>120000</v>
      </c>
      <c r="E132" s="198"/>
      <c r="F132" s="191"/>
    </row>
    <row r="133" spans="1:8" ht="13.5" thickBot="1" x14ac:dyDescent="0.25">
      <c r="A133" s="171"/>
      <c r="B133" s="172" t="s">
        <v>160</v>
      </c>
      <c r="C133" s="173">
        <f>SUM(C94:C132)</f>
        <v>2</v>
      </c>
      <c r="D133" s="173">
        <f>SUM(D94:D132)</f>
        <v>120000</v>
      </c>
      <c r="E133" s="173">
        <f>SUM(E94:E132)</f>
        <v>0</v>
      </c>
      <c r="F133" s="173">
        <f>SUM(F94:F132)</f>
        <v>0</v>
      </c>
      <c r="H133" s="5"/>
    </row>
    <row r="134" spans="1:8" s="38" customFormat="1" x14ac:dyDescent="0.2">
      <c r="A134" s="210" t="s">
        <v>11</v>
      </c>
      <c r="B134" s="211" t="s">
        <v>153</v>
      </c>
      <c r="C134" s="177"/>
      <c r="D134" s="178"/>
      <c r="E134" s="177"/>
      <c r="F134" s="179"/>
    </row>
    <row r="135" spans="1:8" s="38" customFormat="1" x14ac:dyDescent="0.2">
      <c r="A135" s="25"/>
      <c r="B135" s="205" t="s">
        <v>163</v>
      </c>
      <c r="C135" s="54">
        <v>30</v>
      </c>
      <c r="D135" s="119">
        <v>300000</v>
      </c>
      <c r="E135" s="113"/>
      <c r="F135" s="180"/>
    </row>
    <row r="136" spans="1:8" s="38" customFormat="1" x14ac:dyDescent="0.2">
      <c r="A136" s="25"/>
      <c r="B136" s="205" t="s">
        <v>164</v>
      </c>
      <c r="C136" s="54"/>
      <c r="D136" s="119"/>
      <c r="E136" s="113"/>
      <c r="F136" s="180"/>
    </row>
    <row r="137" spans="1:8" s="38" customFormat="1" x14ac:dyDescent="0.2">
      <c r="A137" s="25"/>
      <c r="B137" s="205" t="s">
        <v>165</v>
      </c>
      <c r="C137" s="54"/>
      <c r="D137" s="119"/>
      <c r="E137" s="113"/>
      <c r="F137" s="180"/>
    </row>
    <row r="138" spans="1:8" s="38" customFormat="1" ht="15" x14ac:dyDescent="0.25">
      <c r="A138" s="25"/>
      <c r="B138" s="205" t="s">
        <v>166</v>
      </c>
      <c r="C138" s="47">
        <v>82</v>
      </c>
      <c r="D138" s="119">
        <v>210000</v>
      </c>
      <c r="E138" s="113"/>
      <c r="F138" s="180"/>
    </row>
    <row r="139" spans="1:8" s="38" customFormat="1" x14ac:dyDescent="0.2">
      <c r="A139" s="25"/>
      <c r="B139" s="205" t="s">
        <v>167</v>
      </c>
      <c r="C139" s="54"/>
      <c r="D139" s="119"/>
      <c r="E139" s="113"/>
      <c r="F139" s="180"/>
    </row>
    <row r="140" spans="1:8" s="38" customFormat="1" x14ac:dyDescent="0.2">
      <c r="A140" s="25"/>
      <c r="B140" s="40" t="s">
        <v>168</v>
      </c>
      <c r="C140" s="54"/>
      <c r="D140" s="119"/>
      <c r="E140" s="113"/>
      <c r="F140" s="180"/>
    </row>
    <row r="141" spans="1:8" s="38" customFormat="1" x14ac:dyDescent="0.2">
      <c r="A141" s="25"/>
      <c r="B141" s="40" t="s">
        <v>169</v>
      </c>
      <c r="C141" s="54">
        <v>2</v>
      </c>
      <c r="D141" s="119">
        <v>5000</v>
      </c>
      <c r="E141" s="113"/>
      <c r="F141" s="180"/>
    </row>
    <row r="142" spans="1:8" s="38" customFormat="1" x14ac:dyDescent="0.2">
      <c r="A142" s="25"/>
      <c r="B142" s="40" t="s">
        <v>170</v>
      </c>
      <c r="C142" s="54"/>
      <c r="D142" s="119"/>
      <c r="E142" s="113"/>
      <c r="F142" s="180"/>
    </row>
    <row r="143" spans="1:8" s="38" customFormat="1" x14ac:dyDescent="0.2">
      <c r="A143" s="25"/>
      <c r="B143" s="40" t="s">
        <v>277</v>
      </c>
      <c r="C143" s="54"/>
      <c r="D143" s="119"/>
      <c r="E143" s="113"/>
      <c r="F143" s="180"/>
    </row>
    <row r="144" spans="1:8" s="38" customFormat="1" x14ac:dyDescent="0.2">
      <c r="A144" s="25"/>
      <c r="B144" s="40" t="s">
        <v>278</v>
      </c>
      <c r="C144" s="54"/>
      <c r="D144" s="119"/>
      <c r="E144" s="113"/>
      <c r="F144" s="180"/>
    </row>
    <row r="145" spans="1:6" s="38" customFormat="1" x14ac:dyDescent="0.2">
      <c r="A145" s="25"/>
      <c r="B145" s="40" t="s">
        <v>171</v>
      </c>
      <c r="C145" s="54"/>
      <c r="D145" s="119"/>
      <c r="E145" s="113"/>
      <c r="F145" s="180"/>
    </row>
    <row r="146" spans="1:6" s="38" customFormat="1" ht="15" x14ac:dyDescent="0.25">
      <c r="A146" s="25"/>
      <c r="B146" s="24" t="s">
        <v>172</v>
      </c>
      <c r="C146" s="47"/>
      <c r="D146" s="119"/>
      <c r="E146" s="113"/>
      <c r="F146" s="180"/>
    </row>
    <row r="147" spans="1:6" s="38" customFormat="1" x14ac:dyDescent="0.2">
      <c r="A147" s="25"/>
      <c r="B147" s="40" t="s">
        <v>173</v>
      </c>
      <c r="C147" s="54"/>
      <c r="D147" s="119"/>
      <c r="E147" s="113"/>
      <c r="F147" s="180"/>
    </row>
    <row r="148" spans="1:6" s="38" customFormat="1" ht="15" x14ac:dyDescent="0.25">
      <c r="A148" s="25"/>
      <c r="B148" s="40" t="s">
        <v>174</v>
      </c>
      <c r="C148" s="47">
        <v>4</v>
      </c>
      <c r="D148" s="119">
        <v>12000</v>
      </c>
      <c r="E148" s="58"/>
      <c r="F148" s="180"/>
    </row>
    <row r="149" spans="1:6" s="38" customFormat="1" x14ac:dyDescent="0.2">
      <c r="A149" s="25"/>
      <c r="B149" s="40" t="s">
        <v>175</v>
      </c>
      <c r="C149" s="54"/>
      <c r="D149" s="119"/>
      <c r="E149" s="113"/>
      <c r="F149" s="180"/>
    </row>
    <row r="150" spans="1:6" s="38" customFormat="1" ht="27.75" customHeight="1" x14ac:dyDescent="0.2">
      <c r="A150" s="25"/>
      <c r="B150" s="40" t="s">
        <v>176</v>
      </c>
      <c r="C150" s="54"/>
      <c r="D150" s="119"/>
      <c r="E150" s="113"/>
      <c r="F150" s="180"/>
    </row>
    <row r="151" spans="1:6" s="38" customFormat="1" x14ac:dyDescent="0.2">
      <c r="A151" s="25"/>
      <c r="B151" s="321" t="s">
        <v>177</v>
      </c>
      <c r="C151" s="54"/>
      <c r="D151" s="119"/>
      <c r="E151" s="113"/>
      <c r="F151" s="180"/>
    </row>
    <row r="152" spans="1:6" s="38" customFormat="1" x14ac:dyDescent="0.2">
      <c r="A152" s="25"/>
      <c r="B152" s="144" t="s">
        <v>178</v>
      </c>
      <c r="C152" s="54"/>
      <c r="D152" s="119"/>
      <c r="E152" s="113"/>
      <c r="F152" s="180"/>
    </row>
    <row r="153" spans="1:6" s="38" customFormat="1" x14ac:dyDescent="0.2">
      <c r="A153" s="25"/>
      <c r="B153" s="319" t="s">
        <v>179</v>
      </c>
      <c r="C153" s="54"/>
      <c r="D153" s="119"/>
      <c r="E153" s="113"/>
      <c r="F153" s="180"/>
    </row>
    <row r="154" spans="1:6" s="38" customFormat="1" x14ac:dyDescent="0.2">
      <c r="A154" s="25"/>
      <c r="B154" s="24" t="s">
        <v>180</v>
      </c>
      <c r="C154" s="54"/>
      <c r="D154" s="119"/>
      <c r="E154" s="113"/>
      <c r="F154" s="180"/>
    </row>
    <row r="155" spans="1:6" s="38" customFormat="1" x14ac:dyDescent="0.2">
      <c r="A155" s="25"/>
      <c r="B155" s="24" t="s">
        <v>181</v>
      </c>
      <c r="C155" s="54"/>
      <c r="D155" s="119"/>
      <c r="E155" s="113"/>
      <c r="F155" s="180"/>
    </row>
    <row r="156" spans="1:6" s="38" customFormat="1" x14ac:dyDescent="0.2">
      <c r="A156" s="25"/>
      <c r="B156" s="24" t="s">
        <v>182</v>
      </c>
      <c r="C156" s="54"/>
      <c r="D156" s="119"/>
      <c r="E156" s="113"/>
      <c r="F156" s="180"/>
    </row>
    <row r="157" spans="1:6" s="38" customFormat="1" x14ac:dyDescent="0.2">
      <c r="A157" s="25"/>
      <c r="B157" s="24" t="s">
        <v>183</v>
      </c>
      <c r="C157" s="54"/>
      <c r="D157" s="119"/>
      <c r="E157" s="113"/>
      <c r="F157" s="180"/>
    </row>
    <row r="158" spans="1:6" s="38" customFormat="1" x14ac:dyDescent="0.2">
      <c r="A158" s="25"/>
      <c r="B158" s="24" t="s">
        <v>184</v>
      </c>
      <c r="C158" s="54"/>
      <c r="D158" s="119"/>
      <c r="E158" s="113"/>
      <c r="F158" s="180"/>
    </row>
    <row r="159" spans="1:6" s="38" customFormat="1" ht="25.5" x14ac:dyDescent="0.2">
      <c r="A159" s="25"/>
      <c r="B159" s="24" t="s">
        <v>185</v>
      </c>
      <c r="C159" s="54"/>
      <c r="D159" s="119"/>
      <c r="E159" s="113"/>
      <c r="F159" s="180"/>
    </row>
    <row r="160" spans="1:6" s="38" customFormat="1" x14ac:dyDescent="0.2">
      <c r="A160" s="25"/>
      <c r="B160" s="319" t="s">
        <v>186</v>
      </c>
      <c r="C160" s="54"/>
      <c r="D160" s="119"/>
      <c r="E160" s="113"/>
      <c r="F160" s="180"/>
    </row>
    <row r="161" spans="1:8" s="38" customFormat="1" x14ac:dyDescent="0.2">
      <c r="A161" s="25"/>
      <c r="B161" s="24" t="s">
        <v>187</v>
      </c>
      <c r="C161" s="54"/>
      <c r="D161" s="119"/>
      <c r="E161" s="113"/>
      <c r="F161" s="180"/>
    </row>
    <row r="162" spans="1:8" s="38" customFormat="1" x14ac:dyDescent="0.2">
      <c r="A162" s="25"/>
      <c r="B162" s="24" t="s">
        <v>188</v>
      </c>
      <c r="C162" s="54"/>
      <c r="D162" s="119"/>
      <c r="E162" s="113"/>
      <c r="F162" s="180"/>
    </row>
    <row r="163" spans="1:8" s="38" customFormat="1" x14ac:dyDescent="0.2">
      <c r="A163" s="25"/>
      <c r="B163" s="24" t="s">
        <v>189</v>
      </c>
      <c r="C163" s="54"/>
      <c r="D163" s="119"/>
      <c r="E163" s="113"/>
      <c r="F163" s="180"/>
    </row>
    <row r="164" spans="1:8" s="38" customFormat="1" x14ac:dyDescent="0.2">
      <c r="A164" s="25"/>
      <c r="B164" s="40" t="s">
        <v>190</v>
      </c>
      <c r="C164" s="54"/>
      <c r="D164" s="119"/>
      <c r="E164" s="113"/>
      <c r="F164" s="180"/>
    </row>
    <row r="165" spans="1:8" s="38" customFormat="1" ht="13.5" thickBot="1" x14ac:dyDescent="0.25">
      <c r="A165" s="25"/>
      <c r="B165" s="24" t="s">
        <v>191</v>
      </c>
      <c r="C165" s="54"/>
      <c r="D165" s="119"/>
      <c r="E165" s="58"/>
      <c r="F165" s="180"/>
    </row>
    <row r="166" spans="1:8" ht="13.5" thickBot="1" x14ac:dyDescent="0.25">
      <c r="A166" s="108"/>
      <c r="B166" s="169" t="s">
        <v>161</v>
      </c>
      <c r="C166" s="170">
        <f>SUM(C135:C165)</f>
        <v>118</v>
      </c>
      <c r="D166" s="170">
        <f>SUM(D135:D165)</f>
        <v>527000</v>
      </c>
      <c r="E166" s="170">
        <f>SUM(E135:E165)</f>
        <v>0</v>
      </c>
      <c r="F166" s="170">
        <f>SUM(F135:F165)</f>
        <v>0</v>
      </c>
      <c r="H166" s="5"/>
    </row>
    <row r="167" spans="1:8" s="38" customFormat="1" ht="13.5" thickBot="1" x14ac:dyDescent="0.25">
      <c r="A167" s="262"/>
      <c r="B167" s="263"/>
      <c r="C167" s="66"/>
      <c r="D167" s="212"/>
      <c r="E167" s="66"/>
      <c r="F167" s="67"/>
    </row>
    <row r="168" spans="1:8" ht="16.5" thickBot="1" x14ac:dyDescent="0.3">
      <c r="A168" s="148"/>
      <c r="B168" s="151" t="s">
        <v>162</v>
      </c>
      <c r="C168" s="150">
        <f>C10+C48+C60+C73+C77+C92+C133+C166</f>
        <v>467</v>
      </c>
      <c r="D168" s="150">
        <f>D10+D48+D60+D73+D77+D92+D133+D166</f>
        <v>4343700</v>
      </c>
      <c r="E168" s="150">
        <f>E10+E48+E60+E73+E77+E92+E133+E166</f>
        <v>0</v>
      </c>
      <c r="F168" s="150">
        <f>F10+F48+F60+F73+F77+F92+F133+F166</f>
        <v>0</v>
      </c>
      <c r="H168" s="5"/>
    </row>
    <row r="169" spans="1:8" x14ac:dyDescent="0.2">
      <c r="H169" s="5"/>
    </row>
    <row r="170" spans="1:8" x14ac:dyDescent="0.2">
      <c r="H170" s="5"/>
    </row>
    <row r="171" spans="1:8" x14ac:dyDescent="0.2">
      <c r="H171" s="5"/>
    </row>
    <row r="172" spans="1:8" x14ac:dyDescent="0.2">
      <c r="H172" s="5"/>
    </row>
    <row r="173" spans="1:8" x14ac:dyDescent="0.2">
      <c r="H173" s="5"/>
    </row>
    <row r="174" spans="1:8" x14ac:dyDescent="0.2">
      <c r="H174" s="5"/>
    </row>
    <row r="175" spans="1:8" x14ac:dyDescent="0.2">
      <c r="H175" s="5"/>
    </row>
    <row r="176" spans="1:8" x14ac:dyDescent="0.2">
      <c r="H176" s="5"/>
    </row>
    <row r="177" spans="1:8" x14ac:dyDescent="0.2">
      <c r="H177" s="5"/>
    </row>
    <row r="178" spans="1:8" x14ac:dyDescent="0.2">
      <c r="H178" s="5"/>
    </row>
    <row r="179" spans="1:8" x14ac:dyDescent="0.2">
      <c r="H179" s="5"/>
    </row>
    <row r="180" spans="1:8" x14ac:dyDescent="0.2">
      <c r="H180" s="5"/>
    </row>
    <row r="181" spans="1:8" x14ac:dyDescent="0.2">
      <c r="H181" s="5"/>
    </row>
    <row r="182" spans="1:8" x14ac:dyDescent="0.2">
      <c r="A182" s="5"/>
      <c r="B182" s="5"/>
      <c r="C182" s="5"/>
      <c r="D182" s="5"/>
      <c r="H182" s="5"/>
    </row>
    <row r="183" spans="1:8" x14ac:dyDescent="0.2">
      <c r="A183" s="5"/>
      <c r="B183" s="5"/>
      <c r="C183" s="5"/>
      <c r="D183" s="5"/>
      <c r="H183" s="5"/>
    </row>
  </sheetData>
  <mergeCells count="3">
    <mergeCell ref="C4:D4"/>
    <mergeCell ref="E4:F4"/>
    <mergeCell ref="E3:F3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S183"/>
  <sheetViews>
    <sheetView zoomScale="110" zoomScaleNormal="110" workbookViewId="0">
      <pane xSplit="2" ySplit="5" topLeftCell="C126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42.5703125" style="9" customWidth="1"/>
    <col min="3" max="3" width="10.7109375" style="12" customWidth="1"/>
    <col min="4" max="4" width="14" style="13" customWidth="1"/>
    <col min="5" max="5" width="9.28515625" style="5" customWidth="1"/>
    <col min="6" max="6" width="10.85546875" style="5" customWidth="1"/>
    <col min="7" max="7" width="7.5703125" style="12" bestFit="1" customWidth="1"/>
    <col min="8" max="8" width="13.7109375" style="13" bestFit="1" customWidth="1"/>
    <col min="9" max="9" width="9.28515625" style="5" customWidth="1"/>
    <col min="10" max="10" width="9.85546875" style="5" customWidth="1"/>
    <col min="11" max="11" width="8.7109375" style="12" customWidth="1"/>
    <col min="12" max="12" width="12.85546875" style="13" customWidth="1"/>
    <col min="13" max="13" width="8.42578125" style="5" customWidth="1"/>
    <col min="14" max="14" width="9.42578125" style="5" customWidth="1"/>
    <col min="15" max="15" width="8.7109375" style="12" customWidth="1"/>
    <col min="16" max="16" width="11.5703125" style="13" customWidth="1"/>
    <col min="17" max="17" width="8.5703125" style="5" customWidth="1"/>
    <col min="18" max="18" width="9.85546875" style="5" customWidth="1"/>
    <col min="19" max="16384" width="9.140625" style="5"/>
  </cols>
  <sheetData>
    <row r="1" spans="1:19" ht="14.45" customHeight="1" x14ac:dyDescent="0.2">
      <c r="A1" s="1"/>
      <c r="B1" s="14" t="s">
        <v>55</v>
      </c>
      <c r="C1" s="4"/>
      <c r="D1" s="3"/>
      <c r="G1" s="4"/>
      <c r="H1" s="3"/>
      <c r="K1" s="4"/>
      <c r="L1" s="3"/>
      <c r="O1" s="4"/>
      <c r="P1" s="3"/>
    </row>
    <row r="2" spans="1:19" ht="14.45" customHeight="1" thickBot="1" x14ac:dyDescent="0.25">
      <c r="A2" s="1"/>
      <c r="B2" s="2"/>
      <c r="C2" s="4"/>
      <c r="D2" s="3"/>
      <c r="F2" s="17" t="s">
        <v>236</v>
      </c>
      <c r="G2" s="4"/>
      <c r="H2" s="3"/>
      <c r="J2" s="17" t="s">
        <v>236</v>
      </c>
      <c r="K2" s="4"/>
      <c r="L2" s="3"/>
      <c r="N2" s="17" t="s">
        <v>236</v>
      </c>
      <c r="O2" s="4"/>
      <c r="P2" s="3"/>
      <c r="R2" s="17" t="s">
        <v>236</v>
      </c>
    </row>
    <row r="3" spans="1:19" s="6" customFormat="1" ht="19.5" customHeight="1" thickBot="1" x14ac:dyDescent="0.3">
      <c r="A3" s="70"/>
      <c r="B3" s="71"/>
      <c r="C3" s="413" t="s">
        <v>56</v>
      </c>
      <c r="D3" s="415"/>
      <c r="E3" s="419" t="s">
        <v>56</v>
      </c>
      <c r="F3" s="420"/>
      <c r="G3" s="413" t="s">
        <v>272</v>
      </c>
      <c r="H3" s="414"/>
      <c r="I3" s="414"/>
      <c r="J3" s="415"/>
      <c r="K3" s="413" t="s">
        <v>273</v>
      </c>
      <c r="L3" s="414"/>
      <c r="M3" s="414"/>
      <c r="N3" s="415"/>
      <c r="O3" s="413" t="s">
        <v>274</v>
      </c>
      <c r="P3" s="414"/>
      <c r="Q3" s="414"/>
      <c r="R3" s="415"/>
      <c r="S3" s="6" t="s">
        <v>60</v>
      </c>
    </row>
    <row r="4" spans="1:19" s="6" customFormat="1" ht="33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405" t="s">
        <v>235</v>
      </c>
      <c r="H4" s="406"/>
      <c r="I4" s="411" t="s">
        <v>59</v>
      </c>
      <c r="J4" s="412"/>
      <c r="K4" s="405" t="s">
        <v>235</v>
      </c>
      <c r="L4" s="406"/>
      <c r="M4" s="411" t="s">
        <v>59</v>
      </c>
      <c r="N4" s="412"/>
      <c r="O4" s="405" t="s">
        <v>235</v>
      </c>
      <c r="P4" s="406"/>
      <c r="Q4" s="411" t="s">
        <v>59</v>
      </c>
      <c r="R4" s="412"/>
    </row>
    <row r="5" spans="1:19" s="7" customFormat="1" ht="35.25" customHeight="1" thickBot="1" x14ac:dyDescent="0.25">
      <c r="A5" s="160" t="s">
        <v>62</v>
      </c>
      <c r="B5" s="161" t="s">
        <v>63</v>
      </c>
      <c r="C5" s="229" t="s">
        <v>57</v>
      </c>
      <c r="D5" s="229" t="s">
        <v>58</v>
      </c>
      <c r="E5" s="229" t="s">
        <v>57</v>
      </c>
      <c r="F5" s="229" t="s">
        <v>58</v>
      </c>
      <c r="G5" s="229" t="s">
        <v>0</v>
      </c>
      <c r="H5" s="229" t="s">
        <v>1</v>
      </c>
      <c r="I5" s="229" t="s">
        <v>0</v>
      </c>
      <c r="J5" s="229" t="s">
        <v>12</v>
      </c>
      <c r="K5" s="229" t="s">
        <v>0</v>
      </c>
      <c r="L5" s="229" t="s">
        <v>1</v>
      </c>
      <c r="M5" s="229" t="s">
        <v>0</v>
      </c>
      <c r="N5" s="229" t="s">
        <v>12</v>
      </c>
      <c r="O5" s="229" t="s">
        <v>0</v>
      </c>
      <c r="P5" s="229" t="s">
        <v>1</v>
      </c>
      <c r="Q5" s="229" t="s">
        <v>0</v>
      </c>
      <c r="R5" s="229" t="s">
        <v>12</v>
      </c>
    </row>
    <row r="6" spans="1:19" s="9" customFormat="1" x14ac:dyDescent="0.2">
      <c r="A6" s="175" t="s">
        <v>2</v>
      </c>
      <c r="B6" s="176" t="s">
        <v>3</v>
      </c>
      <c r="C6" s="177"/>
      <c r="D6" s="178"/>
      <c r="E6" s="177"/>
      <c r="F6" s="177"/>
      <c r="G6" s="177"/>
      <c r="H6" s="178"/>
      <c r="I6" s="177"/>
      <c r="J6" s="177"/>
      <c r="K6" s="177"/>
      <c r="L6" s="178"/>
      <c r="M6" s="177"/>
      <c r="N6" s="177"/>
      <c r="O6" s="177"/>
      <c r="P6" s="178"/>
      <c r="Q6" s="177"/>
      <c r="R6" s="179"/>
    </row>
    <row r="7" spans="1:19" x14ac:dyDescent="0.2">
      <c r="A7" s="25"/>
      <c r="B7" s="48" t="s">
        <v>18</v>
      </c>
      <c r="C7" s="64">
        <f>G7+K7+O7</f>
        <v>0</v>
      </c>
      <c r="D7" s="64">
        <f t="shared" ref="D7:F7" si="0">H7+L7+P7</f>
        <v>0</v>
      </c>
      <c r="E7" s="64">
        <f t="shared" si="0"/>
        <v>0</v>
      </c>
      <c r="F7" s="64">
        <f t="shared" si="0"/>
        <v>0</v>
      </c>
      <c r="G7" s="54"/>
      <c r="H7" s="119"/>
      <c r="I7" s="54"/>
      <c r="J7" s="54"/>
      <c r="K7" s="54"/>
      <c r="L7" s="119"/>
      <c r="M7" s="54"/>
      <c r="N7" s="54"/>
      <c r="O7" s="54"/>
      <c r="P7" s="119"/>
      <c r="Q7" s="54"/>
      <c r="R7" s="180"/>
    </row>
    <row r="8" spans="1:19" x14ac:dyDescent="0.2">
      <c r="A8" s="25"/>
      <c r="B8" s="48" t="s">
        <v>4</v>
      </c>
      <c r="C8" s="64">
        <f t="shared" ref="C8:D11" si="1">G8+K8+O8</f>
        <v>0</v>
      </c>
      <c r="D8" s="64">
        <f t="shared" ref="D8:D9" si="2">H8+L8+P8</f>
        <v>0</v>
      </c>
      <c r="E8" s="64">
        <f t="shared" ref="E8:E9" si="3">I8+M8+Q8</f>
        <v>0</v>
      </c>
      <c r="F8" s="64">
        <f t="shared" ref="F8:F9" si="4">J8+N8+R8</f>
        <v>0</v>
      </c>
      <c r="G8" s="54"/>
      <c r="H8" s="119"/>
      <c r="I8" s="54"/>
      <c r="J8" s="54"/>
      <c r="K8" s="54"/>
      <c r="L8" s="119"/>
      <c r="M8" s="54"/>
      <c r="N8" s="54"/>
      <c r="O8" s="54"/>
      <c r="P8" s="119"/>
      <c r="Q8" s="54"/>
      <c r="R8" s="180"/>
    </row>
    <row r="9" spans="1:19" x14ac:dyDescent="0.2">
      <c r="A9" s="25"/>
      <c r="B9" s="48" t="s">
        <v>17</v>
      </c>
      <c r="C9" s="64">
        <f t="shared" si="1"/>
        <v>0</v>
      </c>
      <c r="D9" s="64">
        <f t="shared" si="2"/>
        <v>0</v>
      </c>
      <c r="E9" s="64">
        <f t="shared" si="3"/>
        <v>0</v>
      </c>
      <c r="F9" s="64">
        <f t="shared" si="4"/>
        <v>0</v>
      </c>
      <c r="G9" s="54"/>
      <c r="H9" s="119"/>
      <c r="I9" s="54"/>
      <c r="J9" s="54"/>
      <c r="K9" s="54"/>
      <c r="L9" s="119"/>
      <c r="M9" s="54"/>
      <c r="N9" s="54"/>
      <c r="O9" s="54"/>
      <c r="P9" s="119"/>
      <c r="Q9" s="54"/>
      <c r="R9" s="180"/>
    </row>
    <row r="10" spans="1:19" s="9" customFormat="1" x14ac:dyDescent="0.2">
      <c r="A10" s="25"/>
      <c r="B10" s="48" t="s">
        <v>15</v>
      </c>
      <c r="C10" s="64">
        <f t="shared" si="1"/>
        <v>1</v>
      </c>
      <c r="D10" s="64">
        <f t="shared" si="1"/>
        <v>260000</v>
      </c>
      <c r="E10" s="64">
        <v>0</v>
      </c>
      <c r="F10" s="64">
        <v>0</v>
      </c>
      <c r="G10" s="58">
        <v>1</v>
      </c>
      <c r="H10" s="119">
        <v>260000</v>
      </c>
      <c r="I10" s="58"/>
      <c r="J10" s="58"/>
      <c r="K10" s="58"/>
      <c r="L10" s="119"/>
      <c r="M10" s="58"/>
      <c r="N10" s="58"/>
      <c r="O10" s="112"/>
      <c r="P10" s="112"/>
      <c r="Q10" s="112"/>
      <c r="R10" s="300"/>
    </row>
    <row r="11" spans="1:19" s="9" customFormat="1" ht="13.5" thickBot="1" x14ac:dyDescent="0.25">
      <c r="A11" s="187"/>
      <c r="B11" s="188" t="s">
        <v>16</v>
      </c>
      <c r="C11" s="241">
        <f t="shared" si="1"/>
        <v>2</v>
      </c>
      <c r="D11" s="241">
        <f t="shared" si="1"/>
        <v>400000</v>
      </c>
      <c r="E11" s="241">
        <v>0</v>
      </c>
      <c r="F11" s="241">
        <v>0</v>
      </c>
      <c r="G11" s="190">
        <v>1</v>
      </c>
      <c r="H11" s="189">
        <v>200000</v>
      </c>
      <c r="I11" s="190"/>
      <c r="J11" s="190"/>
      <c r="K11" s="190">
        <v>1</v>
      </c>
      <c r="L11" s="189">
        <v>200000</v>
      </c>
      <c r="M11" s="190"/>
      <c r="N11" s="190"/>
      <c r="O11" s="301"/>
      <c r="P11" s="301"/>
      <c r="Q11" s="301"/>
      <c r="R11" s="302"/>
    </row>
    <row r="12" spans="1:19" s="9" customFormat="1" ht="13.5" thickBot="1" x14ac:dyDescent="0.25">
      <c r="A12" s="171"/>
      <c r="B12" s="172" t="s">
        <v>155</v>
      </c>
      <c r="C12" s="173">
        <f t="shared" ref="C12:R12" si="5">SUM(C7:C11)</f>
        <v>3</v>
      </c>
      <c r="D12" s="173">
        <f t="shared" si="5"/>
        <v>660000</v>
      </c>
      <c r="E12" s="173">
        <f t="shared" si="5"/>
        <v>0</v>
      </c>
      <c r="F12" s="173">
        <f t="shared" si="5"/>
        <v>0</v>
      </c>
      <c r="G12" s="173">
        <f t="shared" si="5"/>
        <v>2</v>
      </c>
      <c r="H12" s="173">
        <f t="shared" si="5"/>
        <v>460000</v>
      </c>
      <c r="I12" s="173">
        <f t="shared" si="5"/>
        <v>0</v>
      </c>
      <c r="J12" s="173">
        <f t="shared" si="5"/>
        <v>0</v>
      </c>
      <c r="K12" s="173">
        <f t="shared" si="5"/>
        <v>1</v>
      </c>
      <c r="L12" s="173">
        <f t="shared" si="5"/>
        <v>200000</v>
      </c>
      <c r="M12" s="173">
        <f t="shared" si="5"/>
        <v>0</v>
      </c>
      <c r="N12" s="173">
        <f t="shared" si="5"/>
        <v>0</v>
      </c>
      <c r="O12" s="173">
        <f t="shared" si="5"/>
        <v>0</v>
      </c>
      <c r="P12" s="173">
        <f t="shared" si="5"/>
        <v>0</v>
      </c>
      <c r="Q12" s="173">
        <f t="shared" si="5"/>
        <v>0</v>
      </c>
      <c r="R12" s="173">
        <f t="shared" si="5"/>
        <v>0</v>
      </c>
    </row>
    <row r="13" spans="1:19" s="52" customFormat="1" x14ac:dyDescent="0.2">
      <c r="A13" s="175" t="s">
        <v>5</v>
      </c>
      <c r="B13" s="176" t="s">
        <v>89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7"/>
    </row>
    <row r="14" spans="1:19" s="52" customFormat="1" x14ac:dyDescent="0.2">
      <c r="A14" s="25"/>
      <c r="B14" s="209" t="s">
        <v>19</v>
      </c>
      <c r="C14" s="64">
        <f>G14+K14+O14</f>
        <v>20</v>
      </c>
      <c r="D14" s="64">
        <f t="shared" ref="D14:F14" si="6">H14+L14+P14</f>
        <v>60000</v>
      </c>
      <c r="E14" s="64">
        <f t="shared" si="6"/>
        <v>0</v>
      </c>
      <c r="F14" s="64">
        <f t="shared" si="6"/>
        <v>0</v>
      </c>
      <c r="G14" s="54">
        <v>10</v>
      </c>
      <c r="H14" s="119">
        <f>3000*G14</f>
        <v>30000</v>
      </c>
      <c r="I14" s="54"/>
      <c r="J14" s="54"/>
      <c r="K14" s="54">
        <v>5</v>
      </c>
      <c r="L14" s="119">
        <f>3000*K14</f>
        <v>15000</v>
      </c>
      <c r="M14" s="54"/>
      <c r="N14" s="54"/>
      <c r="O14" s="54">
        <v>5</v>
      </c>
      <c r="P14" s="119">
        <f>3000*O14</f>
        <v>15000</v>
      </c>
      <c r="Q14" s="54"/>
      <c r="R14" s="180"/>
    </row>
    <row r="15" spans="1:19" s="52" customFormat="1" x14ac:dyDescent="0.2">
      <c r="A15" s="25"/>
      <c r="B15" s="209" t="s">
        <v>20</v>
      </c>
      <c r="C15" s="64">
        <f>G15+K15+O15</f>
        <v>1</v>
      </c>
      <c r="D15" s="64">
        <f>H15+L15+P15</f>
        <v>11000</v>
      </c>
      <c r="E15" s="64">
        <f>I15+M15+Q15</f>
        <v>0</v>
      </c>
      <c r="F15" s="64">
        <f>J15+N15+R15</f>
        <v>0</v>
      </c>
      <c r="G15" s="54">
        <v>1</v>
      </c>
      <c r="H15" s="119">
        <f>11000*G15</f>
        <v>11000</v>
      </c>
      <c r="I15" s="54"/>
      <c r="J15" s="54"/>
      <c r="K15" s="54"/>
      <c r="L15" s="119"/>
      <c r="M15" s="54"/>
      <c r="N15" s="54"/>
      <c r="O15" s="54"/>
      <c r="P15" s="119"/>
      <c r="Q15" s="54"/>
      <c r="R15" s="180"/>
    </row>
    <row r="16" spans="1:19" s="52" customFormat="1" x14ac:dyDescent="0.2">
      <c r="A16" s="25"/>
      <c r="B16" s="318" t="s">
        <v>21</v>
      </c>
      <c r="C16" s="64">
        <f>G16+K16+O16</f>
        <v>14</v>
      </c>
      <c r="D16" s="64">
        <f t="shared" ref="D16:D47" si="7">H16+L16+P16</f>
        <v>63000</v>
      </c>
      <c r="E16" s="64">
        <f t="shared" ref="E16:E47" si="8">I16+M16+Q16</f>
        <v>0</v>
      </c>
      <c r="F16" s="64">
        <f t="shared" ref="F16:F47" si="9">J16+N16+R16</f>
        <v>0</v>
      </c>
      <c r="G16" s="54">
        <v>6</v>
      </c>
      <c r="H16" s="119">
        <f>4500*G16</f>
        <v>27000</v>
      </c>
      <c r="I16" s="54"/>
      <c r="J16" s="54"/>
      <c r="K16" s="54">
        <v>4</v>
      </c>
      <c r="L16" s="119">
        <f>4500*K16</f>
        <v>18000</v>
      </c>
      <c r="M16" s="54"/>
      <c r="N16" s="54"/>
      <c r="O16" s="54">
        <v>4</v>
      </c>
      <c r="P16" s="119">
        <f>4500*O16</f>
        <v>18000</v>
      </c>
      <c r="Q16" s="54"/>
      <c r="R16" s="180"/>
    </row>
    <row r="17" spans="1:18" s="52" customFormat="1" x14ac:dyDescent="0.2">
      <c r="A17" s="25"/>
      <c r="B17" s="318" t="s">
        <v>23</v>
      </c>
      <c r="C17" s="64">
        <f>G17+K17+O17</f>
        <v>2</v>
      </c>
      <c r="D17" s="64">
        <f>H17+L17+P17</f>
        <v>9000</v>
      </c>
      <c r="E17" s="64">
        <f t="shared" si="8"/>
        <v>0</v>
      </c>
      <c r="F17" s="64">
        <f>J17+N17+R17</f>
        <v>0</v>
      </c>
      <c r="G17" s="54">
        <v>2</v>
      </c>
      <c r="H17" s="119">
        <f>4500*G17</f>
        <v>9000</v>
      </c>
      <c r="I17" s="54"/>
      <c r="J17" s="54"/>
      <c r="K17" s="54">
        <v>0</v>
      </c>
      <c r="L17" s="119">
        <f>7000*K17</f>
        <v>0</v>
      </c>
      <c r="M17" s="54"/>
      <c r="N17" s="54"/>
      <c r="O17" s="54">
        <v>0</v>
      </c>
      <c r="P17" s="119">
        <f>7000*O17</f>
        <v>0</v>
      </c>
      <c r="Q17" s="54"/>
      <c r="R17" s="180"/>
    </row>
    <row r="18" spans="1:18" s="38" customFormat="1" ht="15" x14ac:dyDescent="0.25">
      <c r="A18" s="25"/>
      <c r="B18" s="318" t="s">
        <v>24</v>
      </c>
      <c r="C18" s="64">
        <f>G18+K18+O18</f>
        <v>0</v>
      </c>
      <c r="D18" s="64">
        <f>H18+L18+P18</f>
        <v>0</v>
      </c>
      <c r="E18" s="64">
        <f t="shared" si="8"/>
        <v>0</v>
      </c>
      <c r="F18" s="64">
        <f t="shared" si="9"/>
        <v>0</v>
      </c>
      <c r="G18" s="54"/>
      <c r="H18" s="119"/>
      <c r="I18" s="54"/>
      <c r="J18" s="54"/>
      <c r="K18" s="54"/>
      <c r="L18" s="119"/>
      <c r="M18" s="54"/>
      <c r="N18" s="54"/>
      <c r="O18" s="47"/>
      <c r="P18" s="119"/>
      <c r="Q18" s="54"/>
      <c r="R18" s="180"/>
    </row>
    <row r="19" spans="1:18" s="38" customFormat="1" ht="15" x14ac:dyDescent="0.25">
      <c r="A19" s="25"/>
      <c r="B19" s="48" t="s">
        <v>25</v>
      </c>
      <c r="C19" s="64">
        <f t="shared" ref="C19:C47" si="10">G19+K19+O19</f>
        <v>40</v>
      </c>
      <c r="D19" s="64">
        <f t="shared" si="7"/>
        <v>28000</v>
      </c>
      <c r="E19" s="64">
        <f t="shared" si="8"/>
        <v>0</v>
      </c>
      <c r="F19" s="64">
        <f t="shared" si="9"/>
        <v>0</v>
      </c>
      <c r="G19" s="47">
        <v>20</v>
      </c>
      <c r="H19" s="119">
        <f>700*G19</f>
        <v>14000</v>
      </c>
      <c r="I19" s="54"/>
      <c r="J19" s="54"/>
      <c r="K19" s="47">
        <v>10</v>
      </c>
      <c r="L19" s="119">
        <f>700*K19</f>
        <v>7000</v>
      </c>
      <c r="M19" s="54"/>
      <c r="N19" s="54"/>
      <c r="O19" s="47">
        <v>10</v>
      </c>
      <c r="P19" s="119">
        <f>700*O19</f>
        <v>7000</v>
      </c>
      <c r="Q19" s="54"/>
      <c r="R19" s="180"/>
    </row>
    <row r="20" spans="1:18" s="38" customFormat="1" x14ac:dyDescent="0.2">
      <c r="A20" s="25"/>
      <c r="B20" s="209" t="s">
        <v>26</v>
      </c>
      <c r="C20" s="64">
        <f t="shared" si="10"/>
        <v>0</v>
      </c>
      <c r="D20" s="64">
        <f t="shared" si="7"/>
        <v>0</v>
      </c>
      <c r="E20" s="64">
        <f t="shared" si="8"/>
        <v>0</v>
      </c>
      <c r="F20" s="64">
        <f t="shared" si="9"/>
        <v>0</v>
      </c>
      <c r="G20" s="54"/>
      <c r="H20" s="119"/>
      <c r="I20" s="54"/>
      <c r="J20" s="54"/>
      <c r="K20" s="54"/>
      <c r="L20" s="119"/>
      <c r="M20" s="54"/>
      <c r="N20" s="54"/>
      <c r="O20" s="54"/>
      <c r="P20" s="119"/>
      <c r="Q20" s="54"/>
      <c r="R20" s="180"/>
    </row>
    <row r="21" spans="1:18" s="38" customFormat="1" x14ac:dyDescent="0.2">
      <c r="A21" s="25"/>
      <c r="B21" s="209" t="s">
        <v>27</v>
      </c>
      <c r="C21" s="64">
        <f>G21+K21+O21</f>
        <v>24</v>
      </c>
      <c r="D21" s="64">
        <f t="shared" si="7"/>
        <v>36000</v>
      </c>
      <c r="E21" s="64">
        <f t="shared" si="8"/>
        <v>0</v>
      </c>
      <c r="F21" s="64">
        <f t="shared" si="9"/>
        <v>0</v>
      </c>
      <c r="G21" s="54">
        <v>12</v>
      </c>
      <c r="H21" s="119">
        <f>1500*G21</f>
        <v>18000</v>
      </c>
      <c r="I21" s="54"/>
      <c r="J21" s="54"/>
      <c r="K21" s="54">
        <f>6</f>
        <v>6</v>
      </c>
      <c r="L21" s="119">
        <f>1500*K21</f>
        <v>9000</v>
      </c>
      <c r="M21" s="54"/>
      <c r="N21" s="54"/>
      <c r="O21" s="54">
        <f>6</f>
        <v>6</v>
      </c>
      <c r="P21" s="119">
        <f>1500*O21</f>
        <v>9000</v>
      </c>
      <c r="Q21" s="54"/>
      <c r="R21" s="180"/>
    </row>
    <row r="22" spans="1:18" s="38" customFormat="1" x14ac:dyDescent="0.2">
      <c r="A22" s="25"/>
      <c r="B22" s="48" t="s">
        <v>28</v>
      </c>
      <c r="C22" s="64">
        <f t="shared" si="10"/>
        <v>10</v>
      </c>
      <c r="D22" s="64">
        <f t="shared" si="7"/>
        <v>40000</v>
      </c>
      <c r="E22" s="64">
        <f t="shared" si="8"/>
        <v>0</v>
      </c>
      <c r="F22" s="64">
        <f t="shared" si="9"/>
        <v>0</v>
      </c>
      <c r="G22" s="54">
        <v>5</v>
      </c>
      <c r="H22" s="119">
        <f>4000*G22</f>
        <v>20000</v>
      </c>
      <c r="I22" s="54"/>
      <c r="J22" s="54"/>
      <c r="K22" s="54">
        <v>2</v>
      </c>
      <c r="L22" s="119">
        <f>4000*K22</f>
        <v>8000</v>
      </c>
      <c r="M22" s="54"/>
      <c r="N22" s="54"/>
      <c r="O22" s="54">
        <v>3</v>
      </c>
      <c r="P22" s="119">
        <f>4000*O22</f>
        <v>12000</v>
      </c>
      <c r="Q22" s="54"/>
      <c r="R22" s="180"/>
    </row>
    <row r="23" spans="1:18" s="38" customFormat="1" ht="15" x14ac:dyDescent="0.25">
      <c r="A23" s="25"/>
      <c r="B23" s="48" t="s">
        <v>29</v>
      </c>
      <c r="C23" s="64">
        <f t="shared" si="10"/>
        <v>0</v>
      </c>
      <c r="D23" s="64">
        <f t="shared" si="7"/>
        <v>0</v>
      </c>
      <c r="E23" s="64">
        <f t="shared" si="8"/>
        <v>0</v>
      </c>
      <c r="F23" s="64">
        <f t="shared" si="9"/>
        <v>0</v>
      </c>
      <c r="G23" s="47"/>
      <c r="H23" s="119"/>
      <c r="I23" s="54"/>
      <c r="J23" s="54"/>
      <c r="K23" s="47"/>
      <c r="L23" s="119"/>
      <c r="M23" s="54"/>
      <c r="N23" s="54"/>
      <c r="O23" s="47"/>
      <c r="P23" s="119"/>
      <c r="Q23" s="54"/>
      <c r="R23" s="180"/>
    </row>
    <row r="24" spans="1:18" s="38" customFormat="1" ht="15" x14ac:dyDescent="0.25">
      <c r="A24" s="25"/>
      <c r="B24" s="48" t="s">
        <v>30</v>
      </c>
      <c r="C24" s="64">
        <f t="shared" si="10"/>
        <v>10</v>
      </c>
      <c r="D24" s="64">
        <f t="shared" si="7"/>
        <v>30000</v>
      </c>
      <c r="E24" s="64">
        <f t="shared" si="8"/>
        <v>0</v>
      </c>
      <c r="F24" s="64">
        <f t="shared" si="9"/>
        <v>0</v>
      </c>
      <c r="G24" s="47">
        <v>4</v>
      </c>
      <c r="H24" s="119">
        <f>G24*3000</f>
        <v>12000</v>
      </c>
      <c r="I24" s="54"/>
      <c r="J24" s="54"/>
      <c r="K24" s="47">
        <v>3</v>
      </c>
      <c r="L24" s="119">
        <f>K24*3000</f>
        <v>9000</v>
      </c>
      <c r="M24" s="54"/>
      <c r="N24" s="54"/>
      <c r="O24" s="47">
        <v>3</v>
      </c>
      <c r="P24" s="119">
        <f>O24*3000</f>
        <v>9000</v>
      </c>
      <c r="Q24" s="54"/>
      <c r="R24" s="180"/>
    </row>
    <row r="25" spans="1:18" s="38" customFormat="1" x14ac:dyDescent="0.2">
      <c r="A25" s="25"/>
      <c r="B25" s="48" t="s">
        <v>31</v>
      </c>
      <c r="C25" s="64">
        <f t="shared" si="10"/>
        <v>4</v>
      </c>
      <c r="D25" s="64">
        <f t="shared" si="7"/>
        <v>16000</v>
      </c>
      <c r="E25" s="64">
        <f t="shared" si="8"/>
        <v>0</v>
      </c>
      <c r="F25" s="64">
        <f t="shared" si="9"/>
        <v>0</v>
      </c>
      <c r="G25" s="54">
        <v>4</v>
      </c>
      <c r="H25" s="119">
        <f>G25*4000</f>
        <v>16000</v>
      </c>
      <c r="I25" s="54"/>
      <c r="J25" s="54"/>
      <c r="K25" s="54"/>
      <c r="L25" s="119"/>
      <c r="M25" s="54"/>
      <c r="N25" s="54"/>
      <c r="O25" s="54"/>
      <c r="P25" s="119"/>
      <c r="Q25" s="54"/>
      <c r="R25" s="180"/>
    </row>
    <row r="26" spans="1:18" s="38" customFormat="1" x14ac:dyDescent="0.2">
      <c r="A26" s="25"/>
      <c r="B26" s="209" t="s">
        <v>32</v>
      </c>
      <c r="C26" s="64">
        <f>G26+K26+O26</f>
        <v>40</v>
      </c>
      <c r="D26" s="64">
        <f>H26+L26+P26</f>
        <v>100000</v>
      </c>
      <c r="E26" s="64">
        <f>I26+M26+Q26</f>
        <v>0</v>
      </c>
      <c r="F26" s="64">
        <f t="shared" si="9"/>
        <v>0</v>
      </c>
      <c r="G26" s="54">
        <v>20</v>
      </c>
      <c r="H26" s="119">
        <f>G26*2500</f>
        <v>50000</v>
      </c>
      <c r="I26" s="54"/>
      <c r="J26" s="54"/>
      <c r="K26" s="54">
        <v>10</v>
      </c>
      <c r="L26" s="119">
        <f>K26*2500</f>
        <v>25000</v>
      </c>
      <c r="M26" s="54"/>
      <c r="N26" s="54"/>
      <c r="O26" s="54">
        <v>10</v>
      </c>
      <c r="P26" s="119">
        <f>O26*2500</f>
        <v>25000</v>
      </c>
      <c r="Q26" s="54"/>
      <c r="R26" s="180"/>
    </row>
    <row r="27" spans="1:18" s="38" customFormat="1" x14ac:dyDescent="0.2">
      <c r="A27" s="25"/>
      <c r="B27" s="209" t="s">
        <v>33</v>
      </c>
      <c r="C27" s="64">
        <f t="shared" si="10"/>
        <v>40</v>
      </c>
      <c r="D27" s="64">
        <f t="shared" si="7"/>
        <v>100000</v>
      </c>
      <c r="E27" s="64">
        <f t="shared" si="8"/>
        <v>0</v>
      </c>
      <c r="F27" s="64">
        <f t="shared" si="9"/>
        <v>0</v>
      </c>
      <c r="G27" s="54">
        <v>20</v>
      </c>
      <c r="H27" s="119">
        <f>G27*2500</f>
        <v>50000</v>
      </c>
      <c r="I27" s="54"/>
      <c r="J27" s="54"/>
      <c r="K27" s="54">
        <v>10</v>
      </c>
      <c r="L27" s="119">
        <f>K27*2500</f>
        <v>25000</v>
      </c>
      <c r="M27" s="54"/>
      <c r="N27" s="54"/>
      <c r="O27" s="54">
        <v>10</v>
      </c>
      <c r="P27" s="119">
        <f>O27*2500</f>
        <v>25000</v>
      </c>
      <c r="Q27" s="54"/>
      <c r="R27" s="180"/>
    </row>
    <row r="28" spans="1:18" s="38" customFormat="1" x14ac:dyDescent="0.2">
      <c r="A28" s="25"/>
      <c r="B28" s="209" t="s">
        <v>35</v>
      </c>
      <c r="C28" s="64">
        <f t="shared" si="10"/>
        <v>40</v>
      </c>
      <c r="D28" s="64">
        <f t="shared" si="7"/>
        <v>80000</v>
      </c>
      <c r="E28" s="64">
        <f t="shared" si="8"/>
        <v>0</v>
      </c>
      <c r="F28" s="64">
        <f t="shared" si="9"/>
        <v>0</v>
      </c>
      <c r="G28" s="54">
        <v>20</v>
      </c>
      <c r="H28" s="119">
        <f>G28*2000</f>
        <v>40000</v>
      </c>
      <c r="I28" s="54"/>
      <c r="J28" s="54"/>
      <c r="K28" s="54">
        <v>10</v>
      </c>
      <c r="L28" s="119">
        <f>K28*2000</f>
        <v>20000</v>
      </c>
      <c r="M28" s="54"/>
      <c r="N28" s="54"/>
      <c r="O28" s="54">
        <v>10</v>
      </c>
      <c r="P28" s="119">
        <f>O28*2000</f>
        <v>20000</v>
      </c>
      <c r="Q28" s="54"/>
      <c r="R28" s="180"/>
    </row>
    <row r="29" spans="1:18" s="38" customFormat="1" ht="15" x14ac:dyDescent="0.25">
      <c r="A29" s="25"/>
      <c r="B29" s="209" t="s">
        <v>36</v>
      </c>
      <c r="C29" s="64">
        <f t="shared" si="10"/>
        <v>5</v>
      </c>
      <c r="D29" s="64">
        <f t="shared" si="7"/>
        <v>25000</v>
      </c>
      <c r="E29" s="64">
        <f t="shared" si="8"/>
        <v>0</v>
      </c>
      <c r="F29" s="64">
        <f t="shared" si="9"/>
        <v>0</v>
      </c>
      <c r="G29" s="47">
        <v>3</v>
      </c>
      <c r="H29" s="119">
        <f>G29*5000</f>
        <v>15000</v>
      </c>
      <c r="I29" s="54"/>
      <c r="J29" s="54"/>
      <c r="K29" s="47">
        <v>1</v>
      </c>
      <c r="L29" s="119">
        <f>K29*5000</f>
        <v>5000</v>
      </c>
      <c r="M29" s="54"/>
      <c r="N29" s="54"/>
      <c r="O29" s="47">
        <v>1</v>
      </c>
      <c r="P29" s="119">
        <f>O29*5000</f>
        <v>5000</v>
      </c>
      <c r="Q29" s="54"/>
      <c r="R29" s="180"/>
    </row>
    <row r="30" spans="1:18" s="38" customFormat="1" x14ac:dyDescent="0.2">
      <c r="A30" s="25"/>
      <c r="B30" s="209" t="s">
        <v>37</v>
      </c>
      <c r="C30" s="64">
        <f t="shared" si="10"/>
        <v>19</v>
      </c>
      <c r="D30" s="64">
        <f t="shared" si="7"/>
        <v>57000</v>
      </c>
      <c r="E30" s="64">
        <f t="shared" si="8"/>
        <v>0</v>
      </c>
      <c r="F30" s="64">
        <f t="shared" si="9"/>
        <v>0</v>
      </c>
      <c r="G30" s="54">
        <v>10</v>
      </c>
      <c r="H30" s="119">
        <f>G30*3000</f>
        <v>30000</v>
      </c>
      <c r="I30" s="54"/>
      <c r="J30" s="54"/>
      <c r="K30" s="54">
        <v>3</v>
      </c>
      <c r="L30" s="119">
        <f>K30*3000</f>
        <v>9000</v>
      </c>
      <c r="M30" s="54"/>
      <c r="N30" s="54"/>
      <c r="O30" s="54">
        <v>6</v>
      </c>
      <c r="P30" s="119">
        <f>O30*3000</f>
        <v>18000</v>
      </c>
      <c r="Q30" s="54"/>
      <c r="R30" s="180"/>
    </row>
    <row r="31" spans="1:18" s="38" customFormat="1" x14ac:dyDescent="0.2">
      <c r="A31" s="25"/>
      <c r="B31" s="48" t="s">
        <v>38</v>
      </c>
      <c r="C31" s="64">
        <f t="shared" si="10"/>
        <v>30</v>
      </c>
      <c r="D31" s="64">
        <f t="shared" si="7"/>
        <v>75000</v>
      </c>
      <c r="E31" s="64">
        <f t="shared" si="8"/>
        <v>0</v>
      </c>
      <c r="F31" s="64">
        <f t="shared" si="9"/>
        <v>0</v>
      </c>
      <c r="G31" s="54">
        <v>20</v>
      </c>
      <c r="H31" s="119">
        <f>G31*2500</f>
        <v>50000</v>
      </c>
      <c r="I31" s="54"/>
      <c r="J31" s="54"/>
      <c r="K31" s="54">
        <v>5</v>
      </c>
      <c r="L31" s="119">
        <f>K31*2500</f>
        <v>12500</v>
      </c>
      <c r="M31" s="54"/>
      <c r="N31" s="54"/>
      <c r="O31" s="54">
        <v>5</v>
      </c>
      <c r="P31" s="119">
        <f>O31*2500</f>
        <v>12500</v>
      </c>
      <c r="Q31" s="54"/>
      <c r="R31" s="180"/>
    </row>
    <row r="32" spans="1:18" s="38" customFormat="1" x14ac:dyDescent="0.2">
      <c r="A32" s="25"/>
      <c r="B32" s="209" t="s">
        <v>39</v>
      </c>
      <c r="C32" s="64">
        <f t="shared" si="10"/>
        <v>14</v>
      </c>
      <c r="D32" s="64">
        <f t="shared" si="7"/>
        <v>28000</v>
      </c>
      <c r="E32" s="64">
        <f t="shared" si="8"/>
        <v>0</v>
      </c>
      <c r="F32" s="64">
        <f t="shared" si="9"/>
        <v>0</v>
      </c>
      <c r="G32" s="54">
        <v>10</v>
      </c>
      <c r="H32" s="119">
        <f>G32*2000</f>
        <v>20000</v>
      </c>
      <c r="I32" s="54"/>
      <c r="J32" s="54"/>
      <c r="K32" s="54">
        <v>2</v>
      </c>
      <c r="L32" s="119">
        <f>K32*2000</f>
        <v>4000</v>
      </c>
      <c r="M32" s="54"/>
      <c r="N32" s="54"/>
      <c r="O32" s="54">
        <v>2</v>
      </c>
      <c r="P32" s="119">
        <f>O32*2000</f>
        <v>4000</v>
      </c>
      <c r="Q32" s="54"/>
      <c r="R32" s="180"/>
    </row>
    <row r="33" spans="1:18" s="38" customFormat="1" x14ac:dyDescent="0.2">
      <c r="A33" s="25"/>
      <c r="B33" s="209" t="s">
        <v>40</v>
      </c>
      <c r="C33" s="64">
        <f t="shared" si="10"/>
        <v>9</v>
      </c>
      <c r="D33" s="64">
        <f t="shared" si="7"/>
        <v>27000</v>
      </c>
      <c r="E33" s="64">
        <f t="shared" si="8"/>
        <v>0</v>
      </c>
      <c r="F33" s="64">
        <f t="shared" si="9"/>
        <v>0</v>
      </c>
      <c r="G33" s="54">
        <f>5</f>
        <v>5</v>
      </c>
      <c r="H33" s="119">
        <f>G33*3000</f>
        <v>15000</v>
      </c>
      <c r="I33" s="54"/>
      <c r="J33" s="54"/>
      <c r="K33" s="54">
        <v>2</v>
      </c>
      <c r="L33" s="119">
        <f>K33*3000</f>
        <v>6000</v>
      </c>
      <c r="M33" s="54"/>
      <c r="N33" s="54"/>
      <c r="O33" s="54">
        <v>2</v>
      </c>
      <c r="P33" s="119">
        <f>O33*3000</f>
        <v>6000</v>
      </c>
      <c r="Q33" s="54"/>
      <c r="R33" s="180"/>
    </row>
    <row r="34" spans="1:18" s="38" customFormat="1" x14ac:dyDescent="0.2">
      <c r="A34" s="25"/>
      <c r="B34" s="209" t="s">
        <v>41</v>
      </c>
      <c r="C34" s="64">
        <f t="shared" si="10"/>
        <v>18</v>
      </c>
      <c r="D34" s="64">
        <f t="shared" si="7"/>
        <v>45000</v>
      </c>
      <c r="E34" s="64">
        <f t="shared" si="8"/>
        <v>0</v>
      </c>
      <c r="F34" s="64">
        <f t="shared" si="9"/>
        <v>0</v>
      </c>
      <c r="G34" s="54">
        <f>6</f>
        <v>6</v>
      </c>
      <c r="H34" s="119">
        <f>G34*2500</f>
        <v>15000</v>
      </c>
      <c r="I34" s="54"/>
      <c r="J34" s="54"/>
      <c r="K34" s="54">
        <v>4</v>
      </c>
      <c r="L34" s="119">
        <f>K34*2500</f>
        <v>10000</v>
      </c>
      <c r="M34" s="54"/>
      <c r="N34" s="54"/>
      <c r="O34" s="54">
        <v>8</v>
      </c>
      <c r="P34" s="119">
        <f>O34*2500</f>
        <v>20000</v>
      </c>
      <c r="Q34" s="54"/>
      <c r="R34" s="180"/>
    </row>
    <row r="35" spans="1:18" s="38" customFormat="1" x14ac:dyDescent="0.2">
      <c r="A35" s="25"/>
      <c r="B35" s="209" t="s">
        <v>42</v>
      </c>
      <c r="C35" s="64">
        <f t="shared" si="10"/>
        <v>7</v>
      </c>
      <c r="D35" s="64">
        <f t="shared" si="7"/>
        <v>14000</v>
      </c>
      <c r="E35" s="64">
        <f t="shared" si="8"/>
        <v>0</v>
      </c>
      <c r="F35" s="64">
        <f t="shared" si="9"/>
        <v>0</v>
      </c>
      <c r="G35" s="54">
        <f>3</f>
        <v>3</v>
      </c>
      <c r="H35" s="119">
        <f>G35*2000</f>
        <v>6000</v>
      </c>
      <c r="I35" s="54"/>
      <c r="J35" s="54"/>
      <c r="K35" s="54">
        <v>2</v>
      </c>
      <c r="L35" s="119">
        <f>K35*2000</f>
        <v>4000</v>
      </c>
      <c r="M35" s="54"/>
      <c r="N35" s="54"/>
      <c r="O35" s="54">
        <v>2</v>
      </c>
      <c r="P35" s="119">
        <f>O35*2000</f>
        <v>4000</v>
      </c>
      <c r="Q35" s="54"/>
      <c r="R35" s="180"/>
    </row>
    <row r="36" spans="1:18" s="38" customFormat="1" x14ac:dyDescent="0.2">
      <c r="A36" s="25"/>
      <c r="B36" s="48" t="s">
        <v>43</v>
      </c>
      <c r="C36" s="64">
        <f t="shared" si="10"/>
        <v>8</v>
      </c>
      <c r="D36" s="64">
        <f t="shared" si="7"/>
        <v>9600</v>
      </c>
      <c r="E36" s="64">
        <f t="shared" si="8"/>
        <v>0</v>
      </c>
      <c r="F36" s="64">
        <f t="shared" si="9"/>
        <v>0</v>
      </c>
      <c r="G36" s="54">
        <v>8</v>
      </c>
      <c r="H36" s="119">
        <f>G36*1200</f>
        <v>9600</v>
      </c>
      <c r="I36" s="54"/>
      <c r="J36" s="54"/>
      <c r="K36" s="54"/>
      <c r="L36" s="119">
        <f>K36*1200</f>
        <v>0</v>
      </c>
      <c r="M36" s="54"/>
      <c r="N36" s="54"/>
      <c r="O36" s="54"/>
      <c r="P36" s="119">
        <f>O36*1200</f>
        <v>0</v>
      </c>
      <c r="Q36" s="54"/>
      <c r="R36" s="180"/>
    </row>
    <row r="37" spans="1:18" s="38" customFormat="1" ht="15" x14ac:dyDescent="0.25">
      <c r="A37" s="25"/>
      <c r="B37" s="48" t="s">
        <v>44</v>
      </c>
      <c r="C37" s="64">
        <f t="shared" si="10"/>
        <v>16</v>
      </c>
      <c r="D37" s="64">
        <f t="shared" si="7"/>
        <v>32000</v>
      </c>
      <c r="E37" s="64">
        <f t="shared" si="8"/>
        <v>0</v>
      </c>
      <c r="F37" s="64">
        <f t="shared" si="9"/>
        <v>0</v>
      </c>
      <c r="G37" s="47">
        <v>8</v>
      </c>
      <c r="H37" s="119">
        <f>G37*2000</f>
        <v>16000</v>
      </c>
      <c r="I37" s="54"/>
      <c r="J37" s="54"/>
      <c r="K37" s="47">
        <v>4</v>
      </c>
      <c r="L37" s="119">
        <f>K37*2000</f>
        <v>8000</v>
      </c>
      <c r="M37" s="54"/>
      <c r="N37" s="54"/>
      <c r="O37" s="47">
        <v>4</v>
      </c>
      <c r="P37" s="119">
        <f>O37*2000</f>
        <v>8000</v>
      </c>
      <c r="Q37" s="54"/>
      <c r="R37" s="180"/>
    </row>
    <row r="38" spans="1:18" s="38" customFormat="1" x14ac:dyDescent="0.2">
      <c r="A38" s="25"/>
      <c r="B38" s="48" t="s">
        <v>45</v>
      </c>
      <c r="C38" s="64">
        <f t="shared" si="10"/>
        <v>10</v>
      </c>
      <c r="D38" s="64">
        <f t="shared" si="7"/>
        <v>75000</v>
      </c>
      <c r="E38" s="64">
        <f t="shared" si="8"/>
        <v>0</v>
      </c>
      <c r="F38" s="64">
        <f t="shared" si="9"/>
        <v>0</v>
      </c>
      <c r="G38" s="54">
        <v>4</v>
      </c>
      <c r="H38" s="119">
        <f>G38*7500</f>
        <v>30000</v>
      </c>
      <c r="I38" s="54"/>
      <c r="J38" s="54"/>
      <c r="K38" s="54">
        <v>3</v>
      </c>
      <c r="L38" s="119">
        <f>K38*7500</f>
        <v>22500</v>
      </c>
      <c r="M38" s="54"/>
      <c r="N38" s="54"/>
      <c r="O38" s="54">
        <v>3</v>
      </c>
      <c r="P38" s="119">
        <f>O38*7500</f>
        <v>22500</v>
      </c>
      <c r="Q38" s="54"/>
      <c r="R38" s="180"/>
    </row>
    <row r="39" spans="1:18" s="38" customFormat="1" ht="15" x14ac:dyDescent="0.25">
      <c r="A39" s="25"/>
      <c r="B39" s="48" t="s">
        <v>46</v>
      </c>
      <c r="C39" s="64">
        <f t="shared" si="10"/>
        <v>4</v>
      </c>
      <c r="D39" s="64">
        <f t="shared" si="7"/>
        <v>36000</v>
      </c>
      <c r="E39" s="64">
        <f t="shared" si="8"/>
        <v>0</v>
      </c>
      <c r="F39" s="64">
        <f t="shared" si="9"/>
        <v>0</v>
      </c>
      <c r="G39" s="47">
        <v>2</v>
      </c>
      <c r="H39" s="119">
        <f>G39*9000</f>
        <v>18000</v>
      </c>
      <c r="I39" s="54"/>
      <c r="J39" s="54"/>
      <c r="K39" s="47">
        <v>1</v>
      </c>
      <c r="L39" s="119">
        <f>K39*9000</f>
        <v>9000</v>
      </c>
      <c r="M39" s="54"/>
      <c r="N39" s="54"/>
      <c r="O39" s="47">
        <v>1</v>
      </c>
      <c r="P39" s="119">
        <f>O39*9000</f>
        <v>9000</v>
      </c>
      <c r="Q39" s="54"/>
      <c r="R39" s="180"/>
    </row>
    <row r="40" spans="1:18" s="38" customFormat="1" x14ac:dyDescent="0.2">
      <c r="A40" s="25"/>
      <c r="B40" s="209" t="s">
        <v>47</v>
      </c>
      <c r="C40" s="64">
        <f t="shared" si="10"/>
        <v>16</v>
      </c>
      <c r="D40" s="64">
        <f t="shared" si="7"/>
        <v>24000</v>
      </c>
      <c r="E40" s="64">
        <f t="shared" si="8"/>
        <v>0</v>
      </c>
      <c r="F40" s="64">
        <f t="shared" si="9"/>
        <v>0</v>
      </c>
      <c r="G40" s="54">
        <v>10</v>
      </c>
      <c r="H40" s="119">
        <f>1500*G40</f>
        <v>15000</v>
      </c>
      <c r="I40" s="54"/>
      <c r="J40" s="54"/>
      <c r="K40" s="54"/>
      <c r="L40" s="119"/>
      <c r="M40" s="54"/>
      <c r="N40" s="54"/>
      <c r="O40" s="54">
        <v>6</v>
      </c>
      <c r="P40" s="119">
        <f>1500*O40</f>
        <v>9000</v>
      </c>
      <c r="Q40" s="54"/>
      <c r="R40" s="180"/>
    </row>
    <row r="41" spans="1:18" s="38" customFormat="1" ht="15" x14ac:dyDescent="0.25">
      <c r="A41" s="25"/>
      <c r="B41" s="209" t="s">
        <v>48</v>
      </c>
      <c r="C41" s="64">
        <f t="shared" si="10"/>
        <v>64</v>
      </c>
      <c r="D41" s="64">
        <f t="shared" si="7"/>
        <v>51200</v>
      </c>
      <c r="E41" s="64">
        <f t="shared" si="8"/>
        <v>0</v>
      </c>
      <c r="F41" s="64">
        <f t="shared" si="9"/>
        <v>0</v>
      </c>
      <c r="G41" s="47">
        <v>40</v>
      </c>
      <c r="H41" s="119">
        <f>800*G41</f>
        <v>32000</v>
      </c>
      <c r="I41" s="54"/>
      <c r="J41" s="54"/>
      <c r="K41" s="54"/>
      <c r="L41" s="119"/>
      <c r="M41" s="54"/>
      <c r="N41" s="54"/>
      <c r="O41" s="47">
        <v>24</v>
      </c>
      <c r="P41" s="119">
        <f>800*O41</f>
        <v>19200</v>
      </c>
      <c r="Q41" s="54"/>
      <c r="R41" s="180"/>
    </row>
    <row r="42" spans="1:18" s="38" customFormat="1" x14ac:dyDescent="0.2">
      <c r="A42" s="25"/>
      <c r="B42" s="48" t="s">
        <v>49</v>
      </c>
      <c r="C42" s="64">
        <f t="shared" si="10"/>
        <v>0</v>
      </c>
      <c r="D42" s="64">
        <f t="shared" si="7"/>
        <v>0</v>
      </c>
      <c r="E42" s="64">
        <f t="shared" si="8"/>
        <v>0</v>
      </c>
      <c r="F42" s="64">
        <f t="shared" si="9"/>
        <v>0</v>
      </c>
      <c r="G42" s="54"/>
      <c r="H42" s="119"/>
      <c r="I42" s="54"/>
      <c r="J42" s="54"/>
      <c r="K42" s="54"/>
      <c r="L42" s="119"/>
      <c r="M42" s="54"/>
      <c r="N42" s="54"/>
      <c r="O42" s="54"/>
      <c r="P42" s="119"/>
      <c r="Q42" s="54"/>
      <c r="R42" s="180"/>
    </row>
    <row r="43" spans="1:18" s="38" customFormat="1" x14ac:dyDescent="0.2">
      <c r="A43" s="25"/>
      <c r="B43" s="48" t="s">
        <v>50</v>
      </c>
      <c r="C43" s="64">
        <f t="shared" si="10"/>
        <v>8</v>
      </c>
      <c r="D43" s="64">
        <f t="shared" si="7"/>
        <v>24000</v>
      </c>
      <c r="E43" s="64">
        <f t="shared" si="8"/>
        <v>0</v>
      </c>
      <c r="F43" s="64">
        <f t="shared" si="9"/>
        <v>0</v>
      </c>
      <c r="G43" s="54">
        <v>4</v>
      </c>
      <c r="H43" s="119">
        <f>G43*3000</f>
        <v>12000</v>
      </c>
      <c r="I43" s="54"/>
      <c r="J43" s="54"/>
      <c r="K43" s="54"/>
      <c r="L43" s="119">
        <f>K43*3000</f>
        <v>0</v>
      </c>
      <c r="M43" s="54"/>
      <c r="N43" s="54"/>
      <c r="O43" s="54">
        <v>4</v>
      </c>
      <c r="P43" s="119">
        <f>O43*3000</f>
        <v>12000</v>
      </c>
      <c r="Q43" s="54"/>
      <c r="R43" s="180"/>
    </row>
    <row r="44" spans="1:18" s="38" customFormat="1" ht="15" x14ac:dyDescent="0.25">
      <c r="A44" s="25"/>
      <c r="B44" s="48" t="s">
        <v>51</v>
      </c>
      <c r="C44" s="64">
        <f t="shared" si="10"/>
        <v>6</v>
      </c>
      <c r="D44" s="64">
        <f t="shared" si="7"/>
        <v>24000</v>
      </c>
      <c r="E44" s="64">
        <f t="shared" si="8"/>
        <v>0</v>
      </c>
      <c r="F44" s="64">
        <f t="shared" si="9"/>
        <v>0</v>
      </c>
      <c r="G44" s="47">
        <v>2</v>
      </c>
      <c r="H44" s="119">
        <f>G44*4000</f>
        <v>8000</v>
      </c>
      <c r="I44" s="54"/>
      <c r="J44" s="54"/>
      <c r="K44" s="47">
        <v>2</v>
      </c>
      <c r="L44" s="119">
        <f>K44*4000</f>
        <v>8000</v>
      </c>
      <c r="M44" s="54"/>
      <c r="N44" s="54"/>
      <c r="O44" s="47">
        <v>2</v>
      </c>
      <c r="P44" s="119">
        <f>O44*4000</f>
        <v>8000</v>
      </c>
      <c r="Q44" s="54"/>
      <c r="R44" s="180"/>
    </row>
    <row r="45" spans="1:18" s="38" customFormat="1" ht="15" x14ac:dyDescent="0.25">
      <c r="A45" s="25"/>
      <c r="B45" s="48" t="s">
        <v>52</v>
      </c>
      <c r="C45" s="64">
        <f t="shared" si="10"/>
        <v>18</v>
      </c>
      <c r="D45" s="64">
        <f t="shared" si="7"/>
        <v>54000</v>
      </c>
      <c r="E45" s="64">
        <f t="shared" si="8"/>
        <v>0</v>
      </c>
      <c r="F45" s="64">
        <f t="shared" si="9"/>
        <v>0</v>
      </c>
      <c r="G45" s="47">
        <v>10</v>
      </c>
      <c r="H45" s="119">
        <f>G45*3000</f>
        <v>30000</v>
      </c>
      <c r="I45" s="54"/>
      <c r="J45" s="54"/>
      <c r="K45" s="47">
        <v>4</v>
      </c>
      <c r="L45" s="119">
        <f>K45*3000</f>
        <v>12000</v>
      </c>
      <c r="M45" s="54"/>
      <c r="N45" s="54"/>
      <c r="O45" s="47">
        <v>4</v>
      </c>
      <c r="P45" s="119">
        <f>O45*3000</f>
        <v>12000</v>
      </c>
      <c r="Q45" s="54"/>
      <c r="R45" s="180"/>
    </row>
    <row r="46" spans="1:18" s="38" customFormat="1" x14ac:dyDescent="0.2">
      <c r="A46" s="25"/>
      <c r="B46" s="209" t="s">
        <v>53</v>
      </c>
      <c r="C46" s="64">
        <f t="shared" si="10"/>
        <v>12</v>
      </c>
      <c r="D46" s="64">
        <f t="shared" si="7"/>
        <v>36000</v>
      </c>
      <c r="E46" s="64">
        <f t="shared" si="8"/>
        <v>0</v>
      </c>
      <c r="F46" s="64">
        <f t="shared" si="9"/>
        <v>0</v>
      </c>
      <c r="G46" s="54">
        <v>12</v>
      </c>
      <c r="H46" s="119">
        <f>G46*3000</f>
        <v>36000</v>
      </c>
      <c r="I46" s="54"/>
      <c r="J46" s="54"/>
      <c r="K46" s="54"/>
      <c r="L46" s="119">
        <f>K46*3000</f>
        <v>0</v>
      </c>
      <c r="M46" s="54"/>
      <c r="N46" s="54"/>
      <c r="O46" s="54"/>
      <c r="P46" s="119">
        <f>O46*3000</f>
        <v>0</v>
      </c>
      <c r="Q46" s="54"/>
      <c r="R46" s="180"/>
    </row>
    <row r="47" spans="1:18" s="38" customFormat="1" ht="15.75" thickBot="1" x14ac:dyDescent="0.3">
      <c r="A47" s="181"/>
      <c r="B47" s="182" t="s">
        <v>54</v>
      </c>
      <c r="C47" s="239">
        <f t="shared" si="10"/>
        <v>24</v>
      </c>
      <c r="D47" s="239">
        <f t="shared" si="7"/>
        <v>108000</v>
      </c>
      <c r="E47" s="239">
        <f t="shared" si="8"/>
        <v>0</v>
      </c>
      <c r="F47" s="239">
        <f t="shared" si="9"/>
        <v>0</v>
      </c>
      <c r="G47" s="183">
        <v>12</v>
      </c>
      <c r="H47" s="184">
        <f>G47*4500</f>
        <v>54000</v>
      </c>
      <c r="I47" s="200"/>
      <c r="J47" s="200"/>
      <c r="K47" s="183">
        <v>6</v>
      </c>
      <c r="L47" s="184">
        <f>K47*4500</f>
        <v>27000</v>
      </c>
      <c r="M47" s="200"/>
      <c r="N47" s="200"/>
      <c r="O47" s="183">
        <v>6</v>
      </c>
      <c r="P47" s="184">
        <f>O47*4500</f>
        <v>27000</v>
      </c>
      <c r="Q47" s="200"/>
      <c r="R47" s="186"/>
    </row>
    <row r="48" spans="1:18" ht="13.5" thickBot="1" x14ac:dyDescent="0.25">
      <c r="A48" s="232"/>
      <c r="B48" s="233" t="s">
        <v>154</v>
      </c>
      <c r="C48" s="107">
        <f>SUM(C14:C47)</f>
        <v>533</v>
      </c>
      <c r="D48" s="107">
        <f t="shared" ref="D48:R48" si="11">SUM(D14:D47)</f>
        <v>1317800</v>
      </c>
      <c r="E48" s="107">
        <f t="shared" si="11"/>
        <v>0</v>
      </c>
      <c r="F48" s="107">
        <f t="shared" si="11"/>
        <v>0</v>
      </c>
      <c r="G48" s="107">
        <f t="shared" si="11"/>
        <v>293</v>
      </c>
      <c r="H48" s="107">
        <f t="shared" si="11"/>
        <v>708600</v>
      </c>
      <c r="I48" s="107">
        <f t="shared" si="11"/>
        <v>0</v>
      </c>
      <c r="J48" s="107">
        <f t="shared" si="11"/>
        <v>0</v>
      </c>
      <c r="K48" s="107">
        <f t="shared" si="11"/>
        <v>99</v>
      </c>
      <c r="L48" s="107">
        <f t="shared" si="11"/>
        <v>273000</v>
      </c>
      <c r="M48" s="107">
        <f t="shared" si="11"/>
        <v>0</v>
      </c>
      <c r="N48" s="107">
        <f t="shared" si="11"/>
        <v>0</v>
      </c>
      <c r="O48" s="107">
        <f t="shared" si="11"/>
        <v>141</v>
      </c>
      <c r="P48" s="107">
        <f t="shared" si="11"/>
        <v>336200</v>
      </c>
      <c r="Q48" s="107">
        <f t="shared" si="11"/>
        <v>0</v>
      </c>
      <c r="R48" s="107">
        <f t="shared" si="11"/>
        <v>0</v>
      </c>
    </row>
    <row r="49" spans="1:18" s="38" customFormat="1" x14ac:dyDescent="0.2">
      <c r="A49" s="175" t="s">
        <v>6</v>
      </c>
      <c r="B49" s="194" t="s">
        <v>61</v>
      </c>
      <c r="C49" s="213"/>
      <c r="D49" s="213"/>
      <c r="E49" s="213"/>
      <c r="F49" s="213"/>
      <c r="G49" s="177"/>
      <c r="H49" s="178"/>
      <c r="I49" s="177"/>
      <c r="J49" s="177"/>
      <c r="K49" s="177"/>
      <c r="L49" s="178"/>
      <c r="M49" s="177"/>
      <c r="N49" s="177"/>
      <c r="O49" s="177"/>
      <c r="P49" s="178"/>
      <c r="Q49" s="177"/>
      <c r="R49" s="179"/>
    </row>
    <row r="50" spans="1:18" s="38" customFormat="1" ht="15" x14ac:dyDescent="0.25">
      <c r="A50" s="25"/>
      <c r="B50" s="48" t="s">
        <v>64</v>
      </c>
      <c r="C50" s="64">
        <f t="shared" ref="C50:F50" si="12">G50+K50+O50</f>
        <v>16</v>
      </c>
      <c r="D50" s="64">
        <f t="shared" si="12"/>
        <v>128000</v>
      </c>
      <c r="E50" s="64">
        <f t="shared" si="12"/>
        <v>0</v>
      </c>
      <c r="F50" s="64">
        <f t="shared" si="12"/>
        <v>0</v>
      </c>
      <c r="G50" s="47">
        <v>8</v>
      </c>
      <c r="H50" s="119">
        <f>G50*8000</f>
        <v>64000</v>
      </c>
      <c r="I50" s="54"/>
      <c r="J50" s="54"/>
      <c r="K50" s="47">
        <v>4</v>
      </c>
      <c r="L50" s="119">
        <f>K50*8000</f>
        <v>32000</v>
      </c>
      <c r="M50" s="54"/>
      <c r="N50" s="54"/>
      <c r="O50" s="47">
        <v>4</v>
      </c>
      <c r="P50" s="119">
        <f>O50*8000</f>
        <v>32000</v>
      </c>
      <c r="Q50" s="54"/>
      <c r="R50" s="180"/>
    </row>
    <row r="51" spans="1:18" s="38" customFormat="1" x14ac:dyDescent="0.2">
      <c r="A51" s="25"/>
      <c r="B51" s="48" t="s">
        <v>65</v>
      </c>
      <c r="C51" s="64">
        <f t="shared" ref="C51:C56" si="13">G51+K51+O51</f>
        <v>6</v>
      </c>
      <c r="D51" s="64">
        <f t="shared" ref="D51:D56" si="14">H51+L51+P51</f>
        <v>108000</v>
      </c>
      <c r="E51" s="64">
        <f t="shared" ref="E51:E56" si="15">I51+M51+Q51</f>
        <v>0</v>
      </c>
      <c r="F51" s="64">
        <f t="shared" ref="F51:F56" si="16">J51+N51+R51</f>
        <v>0</v>
      </c>
      <c r="G51" s="54">
        <v>2</v>
      </c>
      <c r="H51" s="119">
        <f>G51*18000</f>
        <v>36000</v>
      </c>
      <c r="I51" s="54"/>
      <c r="J51" s="54"/>
      <c r="K51" s="54">
        <v>2</v>
      </c>
      <c r="L51" s="119">
        <f>K51*18000</f>
        <v>36000</v>
      </c>
      <c r="M51" s="54"/>
      <c r="N51" s="54"/>
      <c r="O51" s="54">
        <v>2</v>
      </c>
      <c r="P51" s="119">
        <f>O51*18000</f>
        <v>36000</v>
      </c>
      <c r="Q51" s="54"/>
      <c r="R51" s="180"/>
    </row>
    <row r="52" spans="1:18" s="38" customFormat="1" ht="15" x14ac:dyDescent="0.25">
      <c r="A52" s="25"/>
      <c r="B52" s="193" t="s">
        <v>66</v>
      </c>
      <c r="C52" s="64">
        <f t="shared" si="13"/>
        <v>4</v>
      </c>
      <c r="D52" s="64">
        <f t="shared" si="14"/>
        <v>12000</v>
      </c>
      <c r="E52" s="64">
        <f t="shared" si="15"/>
        <v>0</v>
      </c>
      <c r="F52" s="64">
        <f t="shared" si="16"/>
        <v>0</v>
      </c>
      <c r="G52" s="47">
        <v>2</v>
      </c>
      <c r="H52" s="119">
        <f>G52*3000</f>
        <v>6000</v>
      </c>
      <c r="I52" s="54"/>
      <c r="J52" s="54"/>
      <c r="K52" s="47">
        <v>1</v>
      </c>
      <c r="L52" s="119">
        <f>K52*3000</f>
        <v>3000</v>
      </c>
      <c r="M52" s="54"/>
      <c r="N52" s="54"/>
      <c r="O52" s="47">
        <v>1</v>
      </c>
      <c r="P52" s="119">
        <f>O52*3000</f>
        <v>3000</v>
      </c>
      <c r="Q52" s="54"/>
      <c r="R52" s="180"/>
    </row>
    <row r="53" spans="1:18" s="38" customFormat="1" ht="15" x14ac:dyDescent="0.25">
      <c r="A53" s="25"/>
      <c r="B53" s="48" t="s">
        <v>67</v>
      </c>
      <c r="C53" s="64">
        <f t="shared" si="13"/>
        <v>14</v>
      </c>
      <c r="D53" s="64">
        <f t="shared" si="14"/>
        <v>84000</v>
      </c>
      <c r="E53" s="64">
        <f t="shared" si="15"/>
        <v>0</v>
      </c>
      <c r="F53" s="64">
        <f t="shared" si="16"/>
        <v>0</v>
      </c>
      <c r="G53" s="47">
        <v>6</v>
      </c>
      <c r="H53" s="119">
        <f>G53*6000</f>
        <v>36000</v>
      </c>
      <c r="I53" s="54"/>
      <c r="J53" s="54"/>
      <c r="K53" s="47">
        <v>4</v>
      </c>
      <c r="L53" s="119">
        <f>K53*6000</f>
        <v>24000</v>
      </c>
      <c r="M53" s="54"/>
      <c r="N53" s="54"/>
      <c r="O53" s="47">
        <v>4</v>
      </c>
      <c r="P53" s="119">
        <f>O53*6000</f>
        <v>24000</v>
      </c>
      <c r="Q53" s="54"/>
      <c r="R53" s="180"/>
    </row>
    <row r="54" spans="1:18" s="38" customFormat="1" ht="15" x14ac:dyDescent="0.25">
      <c r="A54" s="25"/>
      <c r="B54" s="48" t="s">
        <v>68</v>
      </c>
      <c r="C54" s="64">
        <f t="shared" si="13"/>
        <v>3</v>
      </c>
      <c r="D54" s="64">
        <f t="shared" si="14"/>
        <v>24000</v>
      </c>
      <c r="E54" s="64">
        <f t="shared" si="15"/>
        <v>0</v>
      </c>
      <c r="F54" s="64">
        <f t="shared" si="16"/>
        <v>0</v>
      </c>
      <c r="G54" s="47">
        <v>1</v>
      </c>
      <c r="H54" s="119">
        <f>G54*8000</f>
        <v>8000</v>
      </c>
      <c r="I54" s="54"/>
      <c r="J54" s="54"/>
      <c r="K54" s="47">
        <v>1</v>
      </c>
      <c r="L54" s="119">
        <f>K54*8000</f>
        <v>8000</v>
      </c>
      <c r="M54" s="54"/>
      <c r="N54" s="54"/>
      <c r="O54" s="47">
        <v>1</v>
      </c>
      <c r="P54" s="119">
        <f>O54*8000</f>
        <v>8000</v>
      </c>
      <c r="Q54" s="54"/>
      <c r="R54" s="180"/>
    </row>
    <row r="55" spans="1:18" s="38" customFormat="1" x14ac:dyDescent="0.2">
      <c r="A55" s="143"/>
      <c r="B55" s="48" t="s">
        <v>69</v>
      </c>
      <c r="C55" s="64">
        <f t="shared" si="13"/>
        <v>0</v>
      </c>
      <c r="D55" s="64">
        <f t="shared" si="14"/>
        <v>0</v>
      </c>
      <c r="E55" s="64">
        <f t="shared" si="15"/>
        <v>0</v>
      </c>
      <c r="F55" s="64">
        <f t="shared" si="16"/>
        <v>0</v>
      </c>
      <c r="G55" s="54"/>
      <c r="H55" s="119">
        <f>G55*5000</f>
        <v>0</v>
      </c>
      <c r="I55" s="54"/>
      <c r="J55" s="54"/>
      <c r="K55" s="54"/>
      <c r="L55" s="119">
        <f>K55*5000</f>
        <v>0</v>
      </c>
      <c r="M55" s="54"/>
      <c r="N55" s="54"/>
      <c r="O55" s="54"/>
      <c r="P55" s="119">
        <f>O55*5000</f>
        <v>0</v>
      </c>
      <c r="Q55" s="54"/>
      <c r="R55" s="180"/>
    </row>
    <row r="56" spans="1:18" s="38" customFormat="1" x14ac:dyDescent="0.2">
      <c r="A56" s="143"/>
      <c r="B56" s="48" t="s">
        <v>70</v>
      </c>
      <c r="C56" s="64">
        <f t="shared" si="13"/>
        <v>0</v>
      </c>
      <c r="D56" s="64">
        <f t="shared" si="14"/>
        <v>0</v>
      </c>
      <c r="E56" s="64">
        <f t="shared" si="15"/>
        <v>0</v>
      </c>
      <c r="F56" s="64">
        <f t="shared" si="16"/>
        <v>0</v>
      </c>
      <c r="G56" s="54"/>
      <c r="H56" s="119"/>
      <c r="I56" s="54"/>
      <c r="J56" s="54"/>
      <c r="K56" s="54"/>
      <c r="L56" s="119"/>
      <c r="M56" s="54"/>
      <c r="N56" s="54"/>
      <c r="O56" s="54"/>
      <c r="P56" s="119"/>
      <c r="Q56" s="54"/>
      <c r="R56" s="180"/>
    </row>
    <row r="57" spans="1:18" s="38" customFormat="1" x14ac:dyDescent="0.2">
      <c r="A57" s="143"/>
      <c r="B57" s="48" t="s">
        <v>71</v>
      </c>
      <c r="C57" s="64">
        <f t="shared" ref="C57:F59" si="17">G57+K57+O57</f>
        <v>3</v>
      </c>
      <c r="D57" s="64">
        <f t="shared" si="17"/>
        <v>30000</v>
      </c>
      <c r="E57" s="64">
        <f t="shared" si="17"/>
        <v>0</v>
      </c>
      <c r="F57" s="64">
        <f t="shared" si="17"/>
        <v>0</v>
      </c>
      <c r="G57" s="54">
        <v>1</v>
      </c>
      <c r="H57" s="119">
        <f>G57*10000</f>
        <v>10000</v>
      </c>
      <c r="I57" s="54"/>
      <c r="J57" s="54"/>
      <c r="K57" s="54">
        <v>1</v>
      </c>
      <c r="L57" s="119">
        <f>K57*10000</f>
        <v>10000</v>
      </c>
      <c r="M57" s="54"/>
      <c r="N57" s="54"/>
      <c r="O57" s="54">
        <v>1</v>
      </c>
      <c r="P57" s="119">
        <f>O57*10000</f>
        <v>10000</v>
      </c>
      <c r="Q57" s="54"/>
      <c r="R57" s="180"/>
    </row>
    <row r="58" spans="1:18" s="38" customFormat="1" x14ac:dyDescent="0.2">
      <c r="A58" s="143"/>
      <c r="B58" s="48" t="s">
        <v>72</v>
      </c>
      <c r="C58" s="64">
        <f t="shared" si="17"/>
        <v>0</v>
      </c>
      <c r="D58" s="64">
        <f t="shared" si="17"/>
        <v>0</v>
      </c>
      <c r="E58" s="64">
        <f t="shared" si="17"/>
        <v>0</v>
      </c>
      <c r="F58" s="64">
        <f t="shared" si="17"/>
        <v>0</v>
      </c>
      <c r="G58" s="54"/>
      <c r="H58" s="119"/>
      <c r="I58" s="54"/>
      <c r="J58" s="54"/>
      <c r="K58" s="54"/>
      <c r="L58" s="119"/>
      <c r="M58" s="54"/>
      <c r="N58" s="54"/>
      <c r="O58" s="54"/>
      <c r="P58" s="119"/>
      <c r="Q58" s="54"/>
      <c r="R58" s="180"/>
    </row>
    <row r="59" spans="1:18" s="38" customFormat="1" ht="13.5" thickBot="1" x14ac:dyDescent="0.25">
      <c r="A59" s="195"/>
      <c r="B59" s="182" t="s">
        <v>73</v>
      </c>
      <c r="C59" s="239">
        <f t="shared" si="17"/>
        <v>3</v>
      </c>
      <c r="D59" s="239">
        <f t="shared" ref="D59" si="18">H59+L59+P59</f>
        <v>943500</v>
      </c>
      <c r="E59" s="239">
        <f t="shared" ref="E59" si="19">I59+M59+Q59</f>
        <v>0</v>
      </c>
      <c r="F59" s="239">
        <f t="shared" ref="F59" si="20">J59+N59+R59</f>
        <v>0</v>
      </c>
      <c r="G59" s="200">
        <v>1</v>
      </c>
      <c r="H59" s="184">
        <f>300000+34500</f>
        <v>334500</v>
      </c>
      <c r="I59" s="200"/>
      <c r="J59" s="200"/>
      <c r="K59" s="200">
        <v>1</v>
      </c>
      <c r="L59" s="184">
        <f>300000+34500</f>
        <v>334500</v>
      </c>
      <c r="M59" s="200"/>
      <c r="N59" s="200"/>
      <c r="O59" s="200">
        <v>1</v>
      </c>
      <c r="P59" s="184">
        <f>240000+34500</f>
        <v>274500</v>
      </c>
      <c r="Q59" s="200"/>
      <c r="R59" s="186"/>
    </row>
    <row r="60" spans="1:18" ht="13.5" thickBot="1" x14ac:dyDescent="0.25">
      <c r="A60" s="95"/>
      <c r="B60" s="96" t="s">
        <v>156</v>
      </c>
      <c r="C60" s="102">
        <f t="shared" ref="C60:R60" si="21">SUM(C50:C59)</f>
        <v>49</v>
      </c>
      <c r="D60" s="102">
        <f t="shared" si="21"/>
        <v>1329500</v>
      </c>
      <c r="E60" s="102">
        <f t="shared" si="21"/>
        <v>0</v>
      </c>
      <c r="F60" s="102">
        <f t="shared" si="21"/>
        <v>0</v>
      </c>
      <c r="G60" s="102">
        <f t="shared" si="21"/>
        <v>21</v>
      </c>
      <c r="H60" s="102">
        <f t="shared" si="21"/>
        <v>494500</v>
      </c>
      <c r="I60" s="102">
        <f t="shared" si="21"/>
        <v>0</v>
      </c>
      <c r="J60" s="102">
        <f t="shared" si="21"/>
        <v>0</v>
      </c>
      <c r="K60" s="102">
        <f t="shared" si="21"/>
        <v>14</v>
      </c>
      <c r="L60" s="102">
        <f t="shared" si="21"/>
        <v>447500</v>
      </c>
      <c r="M60" s="102">
        <f t="shared" si="21"/>
        <v>0</v>
      </c>
      <c r="N60" s="102">
        <f t="shared" si="21"/>
        <v>0</v>
      </c>
      <c r="O60" s="102">
        <f t="shared" si="21"/>
        <v>14</v>
      </c>
      <c r="P60" s="102">
        <f t="shared" si="21"/>
        <v>387500</v>
      </c>
      <c r="Q60" s="102">
        <f t="shared" si="21"/>
        <v>0</v>
      </c>
      <c r="R60" s="102">
        <f t="shared" si="21"/>
        <v>0</v>
      </c>
    </row>
    <row r="61" spans="1:18" x14ac:dyDescent="0.2">
      <c r="A61" s="59" t="s">
        <v>7</v>
      </c>
      <c r="B61" s="60" t="s">
        <v>74</v>
      </c>
      <c r="C61" s="114"/>
      <c r="D61" s="114"/>
      <c r="E61" s="114"/>
      <c r="F61" s="114"/>
      <c r="G61" s="61"/>
      <c r="H61" s="111"/>
      <c r="I61" s="61"/>
      <c r="J61" s="61"/>
      <c r="K61" s="61"/>
      <c r="L61" s="111"/>
      <c r="M61" s="61"/>
      <c r="N61" s="61"/>
      <c r="O61" s="61"/>
      <c r="P61" s="111"/>
      <c r="Q61" s="61"/>
      <c r="R61" s="61"/>
    </row>
    <row r="62" spans="1:18" s="38" customFormat="1" ht="15" x14ac:dyDescent="0.25">
      <c r="A62" s="41"/>
      <c r="B62" s="115" t="s">
        <v>75</v>
      </c>
      <c r="C62" s="63">
        <f t="shared" ref="C62:F62" si="22">G62+K62+O62</f>
        <v>3</v>
      </c>
      <c r="D62" s="63">
        <f t="shared" si="22"/>
        <v>195000</v>
      </c>
      <c r="E62" s="63">
        <f t="shared" si="22"/>
        <v>0</v>
      </c>
      <c r="F62" s="63">
        <f t="shared" si="22"/>
        <v>0</v>
      </c>
      <c r="G62" s="47">
        <v>2</v>
      </c>
      <c r="H62" s="116">
        <f>65000*G62</f>
        <v>130000</v>
      </c>
      <c r="I62" s="21"/>
      <c r="J62" s="26"/>
      <c r="K62" s="47"/>
      <c r="L62" s="116"/>
      <c r="M62" s="21"/>
      <c r="N62" s="26"/>
      <c r="O62" s="47">
        <v>1</v>
      </c>
      <c r="P62" s="116">
        <f>65000*O62</f>
        <v>65000</v>
      </c>
      <c r="Q62" s="21"/>
      <c r="R62" s="26"/>
    </row>
    <row r="63" spans="1:18" s="38" customFormat="1" x14ac:dyDescent="0.2">
      <c r="A63" s="41"/>
      <c r="B63" s="115" t="s">
        <v>76</v>
      </c>
      <c r="C63" s="63">
        <f>G63+K63+O63</f>
        <v>0</v>
      </c>
      <c r="D63" s="63">
        <f>H63+L63+P63</f>
        <v>0</v>
      </c>
      <c r="E63" s="63">
        <f>I63+M63+Q63</f>
        <v>0</v>
      </c>
      <c r="F63" s="63">
        <f>J63+N63+R63</f>
        <v>0</v>
      </c>
      <c r="G63" s="26"/>
      <c r="H63" s="116"/>
      <c r="I63" s="21"/>
      <c r="J63" s="26"/>
      <c r="K63" s="26"/>
      <c r="L63" s="116"/>
      <c r="M63" s="21"/>
      <c r="N63" s="26"/>
      <c r="O63" s="26"/>
      <c r="P63" s="116"/>
      <c r="Q63" s="21"/>
      <c r="R63" s="26"/>
    </row>
    <row r="64" spans="1:18" s="38" customFormat="1" x14ac:dyDescent="0.2">
      <c r="A64" s="41"/>
      <c r="B64" s="115" t="s">
        <v>77</v>
      </c>
      <c r="C64" s="63">
        <f t="shared" ref="C64:C72" si="23">G64+K64+O64</f>
        <v>6</v>
      </c>
      <c r="D64" s="63">
        <f t="shared" ref="D64:D72" si="24">H64+L64+P64</f>
        <v>600000</v>
      </c>
      <c r="E64" s="63">
        <f t="shared" ref="E64:E72" si="25">I64+M64+Q64</f>
        <v>0</v>
      </c>
      <c r="F64" s="63">
        <f t="shared" ref="F64:F72" si="26">J64+N64+R64</f>
        <v>0</v>
      </c>
      <c r="G64" s="26">
        <v>2</v>
      </c>
      <c r="H64" s="116">
        <f>G64*100000</f>
        <v>200000</v>
      </c>
      <c r="I64" s="21"/>
      <c r="J64" s="26"/>
      <c r="K64" s="26">
        <v>2</v>
      </c>
      <c r="L64" s="116">
        <f>K64*100000</f>
        <v>200000</v>
      </c>
      <c r="M64" s="21"/>
      <c r="N64" s="26"/>
      <c r="O64" s="26">
        <v>2</v>
      </c>
      <c r="P64" s="116">
        <f>O64*100000</f>
        <v>200000</v>
      </c>
      <c r="Q64" s="21"/>
      <c r="R64" s="26"/>
    </row>
    <row r="65" spans="1:18" s="38" customFormat="1" x14ac:dyDescent="0.2">
      <c r="A65" s="41"/>
      <c r="B65" s="115" t="s">
        <v>78</v>
      </c>
      <c r="C65" s="63">
        <f t="shared" si="23"/>
        <v>6</v>
      </c>
      <c r="D65" s="63">
        <f t="shared" si="24"/>
        <v>15000</v>
      </c>
      <c r="E65" s="63">
        <f t="shared" si="25"/>
        <v>0</v>
      </c>
      <c r="F65" s="63">
        <f t="shared" si="26"/>
        <v>0</v>
      </c>
      <c r="G65" s="26">
        <v>2</v>
      </c>
      <c r="H65" s="116">
        <f>G65*2500</f>
        <v>5000</v>
      </c>
      <c r="I65" s="21"/>
      <c r="J65" s="26"/>
      <c r="K65" s="26">
        <v>2</v>
      </c>
      <c r="L65" s="116">
        <f>K65*2500</f>
        <v>5000</v>
      </c>
      <c r="M65" s="21"/>
      <c r="N65" s="26"/>
      <c r="O65" s="26">
        <v>2</v>
      </c>
      <c r="P65" s="116">
        <f>O65*2500</f>
        <v>5000</v>
      </c>
      <c r="Q65" s="21"/>
      <c r="R65" s="26"/>
    </row>
    <row r="66" spans="1:18" s="38" customFormat="1" x14ac:dyDescent="0.2">
      <c r="A66" s="41"/>
      <c r="B66" s="115" t="s">
        <v>79</v>
      </c>
      <c r="C66" s="63">
        <f t="shared" si="23"/>
        <v>4</v>
      </c>
      <c r="D66" s="63">
        <f t="shared" si="24"/>
        <v>32000</v>
      </c>
      <c r="E66" s="63">
        <f t="shared" si="25"/>
        <v>0</v>
      </c>
      <c r="F66" s="63">
        <f t="shared" si="26"/>
        <v>0</v>
      </c>
      <c r="G66" s="26">
        <v>2</v>
      </c>
      <c r="H66" s="117">
        <f>G66*8000</f>
        <v>16000</v>
      </c>
      <c r="I66" s="21"/>
      <c r="J66" s="26"/>
      <c r="K66" s="26">
        <v>1</v>
      </c>
      <c r="L66" s="117">
        <f>K66*8000</f>
        <v>8000</v>
      </c>
      <c r="M66" s="21"/>
      <c r="N66" s="26"/>
      <c r="O66" s="26">
        <v>1</v>
      </c>
      <c r="P66" s="117">
        <f>O66*8000</f>
        <v>8000</v>
      </c>
      <c r="Q66" s="21"/>
      <c r="R66" s="26"/>
    </row>
    <row r="67" spans="1:18" s="38" customFormat="1" x14ac:dyDescent="0.2">
      <c r="A67" s="41"/>
      <c r="B67" s="115" t="s">
        <v>80</v>
      </c>
      <c r="C67" s="63">
        <f t="shared" si="23"/>
        <v>0</v>
      </c>
      <c r="D67" s="63">
        <f t="shared" si="24"/>
        <v>0</v>
      </c>
      <c r="E67" s="63">
        <f t="shared" si="25"/>
        <v>0</v>
      </c>
      <c r="F67" s="63">
        <f t="shared" si="26"/>
        <v>0</v>
      </c>
      <c r="G67" s="26"/>
      <c r="H67" s="116"/>
      <c r="I67" s="21"/>
      <c r="J67" s="26"/>
      <c r="K67" s="26"/>
      <c r="L67" s="116"/>
      <c r="M67" s="21"/>
      <c r="N67" s="26"/>
      <c r="O67" s="26"/>
      <c r="P67" s="116"/>
      <c r="Q67" s="21"/>
      <c r="R67" s="26"/>
    </row>
    <row r="68" spans="1:18" s="38" customFormat="1" x14ac:dyDescent="0.2">
      <c r="A68" s="41"/>
      <c r="B68" s="115" t="s">
        <v>81</v>
      </c>
      <c r="C68" s="63"/>
      <c r="D68" s="63"/>
      <c r="E68" s="63"/>
      <c r="F68" s="63"/>
      <c r="G68" s="26"/>
      <c r="H68" s="116"/>
      <c r="I68" s="21"/>
      <c r="J68" s="26"/>
      <c r="K68" s="26"/>
      <c r="L68" s="116"/>
      <c r="M68" s="21"/>
      <c r="N68" s="26"/>
      <c r="O68" s="26"/>
      <c r="P68" s="116"/>
      <c r="Q68" s="21"/>
      <c r="R68" s="26"/>
    </row>
    <row r="69" spans="1:18" s="38" customFormat="1" x14ac:dyDescent="0.2">
      <c r="A69" s="41"/>
      <c r="B69" s="115" t="s">
        <v>82</v>
      </c>
      <c r="C69" s="63">
        <f t="shared" si="23"/>
        <v>0</v>
      </c>
      <c r="D69" s="63">
        <f t="shared" si="24"/>
        <v>0</v>
      </c>
      <c r="E69" s="63">
        <f t="shared" si="25"/>
        <v>0</v>
      </c>
      <c r="F69" s="63">
        <f t="shared" si="26"/>
        <v>0</v>
      </c>
      <c r="G69" s="26"/>
      <c r="H69" s="116"/>
      <c r="I69" s="21"/>
      <c r="J69" s="26"/>
      <c r="K69" s="26"/>
      <c r="L69" s="116"/>
      <c r="M69" s="21"/>
      <c r="N69" s="26"/>
      <c r="O69" s="26"/>
      <c r="P69" s="116"/>
      <c r="Q69" s="21"/>
      <c r="R69" s="26"/>
    </row>
    <row r="70" spans="1:18" s="38" customFormat="1" x14ac:dyDescent="0.2">
      <c r="A70" s="41"/>
      <c r="B70" s="115" t="s">
        <v>83</v>
      </c>
      <c r="C70" s="63">
        <f t="shared" si="23"/>
        <v>8</v>
      </c>
      <c r="D70" s="63">
        <f t="shared" si="24"/>
        <v>60000</v>
      </c>
      <c r="E70" s="63">
        <f t="shared" si="25"/>
        <v>0</v>
      </c>
      <c r="F70" s="63">
        <f t="shared" si="26"/>
        <v>0</v>
      </c>
      <c r="G70" s="26">
        <v>4</v>
      </c>
      <c r="H70" s="116">
        <f>G70*7500</f>
        <v>30000</v>
      </c>
      <c r="I70" s="21"/>
      <c r="J70" s="26"/>
      <c r="K70" s="26">
        <v>2</v>
      </c>
      <c r="L70" s="116">
        <f>K70*7500</f>
        <v>15000</v>
      </c>
      <c r="M70" s="21"/>
      <c r="N70" s="26"/>
      <c r="O70" s="26">
        <v>2</v>
      </c>
      <c r="P70" s="116">
        <f>O70*7500</f>
        <v>15000</v>
      </c>
      <c r="Q70" s="21"/>
      <c r="R70" s="26"/>
    </row>
    <row r="71" spans="1:18" s="38" customFormat="1" x14ac:dyDescent="0.2">
      <c r="A71" s="41"/>
      <c r="B71" s="115" t="s">
        <v>84</v>
      </c>
      <c r="C71" s="63">
        <f t="shared" si="23"/>
        <v>0</v>
      </c>
      <c r="D71" s="63">
        <f t="shared" si="24"/>
        <v>0</v>
      </c>
      <c r="E71" s="63">
        <f t="shared" si="25"/>
        <v>0</v>
      </c>
      <c r="F71" s="63">
        <f t="shared" si="26"/>
        <v>0</v>
      </c>
      <c r="G71" s="26"/>
      <c r="H71" s="116"/>
      <c r="I71" s="21"/>
      <c r="J71" s="26"/>
      <c r="K71" s="26"/>
      <c r="L71" s="116"/>
      <c r="M71" s="21"/>
      <c r="N71" s="26"/>
      <c r="O71" s="26"/>
      <c r="P71" s="116"/>
      <c r="Q71" s="21"/>
      <c r="R71" s="26"/>
    </row>
    <row r="72" spans="1:18" s="38" customFormat="1" ht="13.5" thickBot="1" x14ac:dyDescent="0.25">
      <c r="A72" s="41"/>
      <c r="B72" s="115" t="s">
        <v>85</v>
      </c>
      <c r="C72" s="63">
        <f t="shared" si="23"/>
        <v>0</v>
      </c>
      <c r="D72" s="63">
        <f t="shared" si="24"/>
        <v>0</v>
      </c>
      <c r="E72" s="63">
        <f t="shared" si="25"/>
        <v>0</v>
      </c>
      <c r="F72" s="63">
        <f t="shared" si="26"/>
        <v>0</v>
      </c>
      <c r="G72" s="26"/>
      <c r="H72" s="116"/>
      <c r="I72" s="21"/>
      <c r="J72" s="26"/>
      <c r="K72" s="26"/>
      <c r="L72" s="116"/>
      <c r="M72" s="21"/>
      <c r="N72" s="26"/>
      <c r="O72" s="26"/>
      <c r="P72" s="116"/>
      <c r="Q72" s="21"/>
      <c r="R72" s="26"/>
    </row>
    <row r="73" spans="1:18" ht="13.5" thickBot="1" x14ac:dyDescent="0.25">
      <c r="A73" s="171"/>
      <c r="B73" s="303" t="s">
        <v>157</v>
      </c>
      <c r="C73" s="287">
        <f t="shared" ref="C73:R73" si="27">SUM(C62:C72)</f>
        <v>27</v>
      </c>
      <c r="D73" s="287">
        <f t="shared" si="27"/>
        <v>902000</v>
      </c>
      <c r="E73" s="287">
        <f t="shared" si="27"/>
        <v>0</v>
      </c>
      <c r="F73" s="287">
        <f t="shared" si="27"/>
        <v>0</v>
      </c>
      <c r="G73" s="287">
        <f t="shared" si="27"/>
        <v>12</v>
      </c>
      <c r="H73" s="287">
        <f t="shared" si="27"/>
        <v>381000</v>
      </c>
      <c r="I73" s="287">
        <f t="shared" si="27"/>
        <v>0</v>
      </c>
      <c r="J73" s="287">
        <f t="shared" si="27"/>
        <v>0</v>
      </c>
      <c r="K73" s="287">
        <f t="shared" si="27"/>
        <v>7</v>
      </c>
      <c r="L73" s="287">
        <f t="shared" si="27"/>
        <v>228000</v>
      </c>
      <c r="M73" s="287">
        <f t="shared" si="27"/>
        <v>0</v>
      </c>
      <c r="N73" s="287">
        <f t="shared" si="27"/>
        <v>0</v>
      </c>
      <c r="O73" s="287">
        <f t="shared" si="27"/>
        <v>8</v>
      </c>
      <c r="P73" s="287">
        <f t="shared" si="27"/>
        <v>293000</v>
      </c>
      <c r="Q73" s="287">
        <f t="shared" si="27"/>
        <v>0</v>
      </c>
      <c r="R73" s="287">
        <f t="shared" si="27"/>
        <v>0</v>
      </c>
    </row>
    <row r="74" spans="1:18" x14ac:dyDescent="0.2">
      <c r="A74" s="175" t="s">
        <v>8</v>
      </c>
      <c r="B74" s="194" t="s">
        <v>86</v>
      </c>
      <c r="C74" s="213"/>
      <c r="D74" s="213"/>
      <c r="E74" s="213"/>
      <c r="F74" s="213"/>
      <c r="G74" s="177"/>
      <c r="H74" s="178"/>
      <c r="I74" s="177"/>
      <c r="J74" s="177"/>
      <c r="K74" s="177"/>
      <c r="L74" s="178"/>
      <c r="M74" s="177"/>
      <c r="N74" s="177"/>
      <c r="O74" s="177"/>
      <c r="P74" s="178"/>
      <c r="Q74" s="177"/>
      <c r="R74" s="179"/>
    </row>
    <row r="75" spans="1:18" s="38" customFormat="1" x14ac:dyDescent="0.2">
      <c r="A75" s="25"/>
      <c r="B75" s="193" t="s">
        <v>87</v>
      </c>
      <c r="C75" s="64">
        <f t="shared" ref="C75:C76" si="28">G75+K75+O75</f>
        <v>0</v>
      </c>
      <c r="D75" s="64">
        <f t="shared" ref="D75:D76" si="29">H75+L75+P75</f>
        <v>0</v>
      </c>
      <c r="E75" s="64">
        <f t="shared" ref="E75:E76" si="30">I75+M75+Q75</f>
        <v>0</v>
      </c>
      <c r="F75" s="64">
        <f t="shared" ref="F75:F76" si="31">J75+N75+R75</f>
        <v>0</v>
      </c>
      <c r="G75" s="54"/>
      <c r="H75" s="119"/>
      <c r="I75" s="54"/>
      <c r="J75" s="54"/>
      <c r="K75" s="54"/>
      <c r="L75" s="119"/>
      <c r="M75" s="54"/>
      <c r="N75" s="54"/>
      <c r="O75" s="54"/>
      <c r="P75" s="119"/>
      <c r="Q75" s="54"/>
      <c r="R75" s="180"/>
    </row>
    <row r="76" spans="1:18" s="38" customFormat="1" ht="27" thickBot="1" x14ac:dyDescent="0.3">
      <c r="A76" s="181"/>
      <c r="B76" s="203" t="s">
        <v>88</v>
      </c>
      <c r="C76" s="239">
        <f t="shared" si="28"/>
        <v>2</v>
      </c>
      <c r="D76" s="239">
        <f t="shared" si="29"/>
        <v>36000</v>
      </c>
      <c r="E76" s="239">
        <f t="shared" si="30"/>
        <v>0</v>
      </c>
      <c r="F76" s="239">
        <f t="shared" si="31"/>
        <v>0</v>
      </c>
      <c r="G76" s="200">
        <v>2</v>
      </c>
      <c r="H76" s="184">
        <f>18000*G76</f>
        <v>36000</v>
      </c>
      <c r="I76" s="200"/>
      <c r="J76" s="200"/>
      <c r="K76" s="183"/>
      <c r="L76" s="184"/>
      <c r="M76" s="200"/>
      <c r="N76" s="200"/>
      <c r="O76" s="200"/>
      <c r="P76" s="184"/>
      <c r="Q76" s="200"/>
      <c r="R76" s="186"/>
    </row>
    <row r="77" spans="1:18" ht="13.5" thickBot="1" x14ac:dyDescent="0.25">
      <c r="A77" s="232"/>
      <c r="B77" s="233" t="s">
        <v>158</v>
      </c>
      <c r="C77" s="234">
        <f t="shared" ref="C77:R77" si="32">SUM(C75:C76)</f>
        <v>2</v>
      </c>
      <c r="D77" s="234">
        <f t="shared" si="32"/>
        <v>36000</v>
      </c>
      <c r="E77" s="234">
        <f t="shared" si="32"/>
        <v>0</v>
      </c>
      <c r="F77" s="234">
        <f t="shared" si="32"/>
        <v>0</v>
      </c>
      <c r="G77" s="234">
        <f t="shared" si="32"/>
        <v>2</v>
      </c>
      <c r="H77" s="234">
        <f t="shared" si="32"/>
        <v>36000</v>
      </c>
      <c r="I77" s="234">
        <f t="shared" si="32"/>
        <v>0</v>
      </c>
      <c r="J77" s="234">
        <f t="shared" si="32"/>
        <v>0</v>
      </c>
      <c r="K77" s="234">
        <f t="shared" si="32"/>
        <v>0</v>
      </c>
      <c r="L77" s="234">
        <f t="shared" si="32"/>
        <v>0</v>
      </c>
      <c r="M77" s="234">
        <f t="shared" si="32"/>
        <v>0</v>
      </c>
      <c r="N77" s="234">
        <f t="shared" si="32"/>
        <v>0</v>
      </c>
      <c r="O77" s="234">
        <f t="shared" si="32"/>
        <v>0</v>
      </c>
      <c r="P77" s="234">
        <f t="shared" si="32"/>
        <v>0</v>
      </c>
      <c r="Q77" s="234">
        <f t="shared" si="32"/>
        <v>0</v>
      </c>
      <c r="R77" s="234">
        <f t="shared" si="32"/>
        <v>0</v>
      </c>
    </row>
    <row r="78" spans="1:18" x14ac:dyDescent="0.2">
      <c r="A78" s="175" t="s">
        <v>9</v>
      </c>
      <c r="B78" s="176" t="s">
        <v>90</v>
      </c>
      <c r="C78" s="213"/>
      <c r="D78" s="213"/>
      <c r="E78" s="213"/>
      <c r="F78" s="213"/>
      <c r="G78" s="177"/>
      <c r="H78" s="178"/>
      <c r="I78" s="177"/>
      <c r="J78" s="177"/>
      <c r="K78" s="177"/>
      <c r="L78" s="178"/>
      <c r="M78" s="177"/>
      <c r="N78" s="177"/>
      <c r="O78" s="177"/>
      <c r="P78" s="178"/>
      <c r="Q78" s="177"/>
      <c r="R78" s="179"/>
    </row>
    <row r="79" spans="1:18" s="38" customFormat="1" ht="15" x14ac:dyDescent="0.25">
      <c r="A79" s="25"/>
      <c r="B79" s="205" t="s">
        <v>91</v>
      </c>
      <c r="C79" s="64">
        <f t="shared" ref="C79:F80" si="33">G79+K79+O79</f>
        <v>3</v>
      </c>
      <c r="D79" s="64">
        <f t="shared" si="33"/>
        <v>1650000</v>
      </c>
      <c r="E79" s="64">
        <f t="shared" si="33"/>
        <v>0</v>
      </c>
      <c r="F79" s="64">
        <f t="shared" si="33"/>
        <v>0</v>
      </c>
      <c r="G79" s="47">
        <v>1</v>
      </c>
      <c r="H79" s="119">
        <f>G79*550000</f>
        <v>550000</v>
      </c>
      <c r="I79" s="54"/>
      <c r="J79" s="54"/>
      <c r="K79" s="47">
        <v>1</v>
      </c>
      <c r="L79" s="119">
        <f>K79*550000</f>
        <v>550000</v>
      </c>
      <c r="M79" s="54"/>
      <c r="N79" s="54"/>
      <c r="O79" s="47">
        <v>1</v>
      </c>
      <c r="P79" s="119">
        <f>O79*550000</f>
        <v>550000</v>
      </c>
      <c r="Q79" s="54"/>
      <c r="R79" s="180"/>
    </row>
    <row r="80" spans="1:18" s="38" customFormat="1" ht="15" x14ac:dyDescent="0.25">
      <c r="A80" s="25"/>
      <c r="B80" s="205" t="s">
        <v>92</v>
      </c>
      <c r="C80" s="64">
        <f t="shared" si="33"/>
        <v>3</v>
      </c>
      <c r="D80" s="64">
        <f t="shared" si="33"/>
        <v>1350000</v>
      </c>
      <c r="E80" s="64">
        <f t="shared" si="33"/>
        <v>0</v>
      </c>
      <c r="F80" s="64">
        <f t="shared" si="33"/>
        <v>0</v>
      </c>
      <c r="G80" s="47">
        <v>1</v>
      </c>
      <c r="H80" s="119">
        <f>G80*450000</f>
        <v>450000</v>
      </c>
      <c r="I80" s="54"/>
      <c r="J80" s="54"/>
      <c r="K80" s="47">
        <v>1</v>
      </c>
      <c r="L80" s="119">
        <f>K80*450000</f>
        <v>450000</v>
      </c>
      <c r="M80" s="54"/>
      <c r="N80" s="54"/>
      <c r="O80" s="47">
        <v>1</v>
      </c>
      <c r="P80" s="119">
        <f>O80*450000</f>
        <v>450000</v>
      </c>
      <c r="Q80" s="54"/>
      <c r="R80" s="180"/>
    </row>
    <row r="81" spans="1:18" s="38" customFormat="1" ht="15" x14ac:dyDescent="0.25">
      <c r="A81" s="25"/>
      <c r="B81" s="205" t="s">
        <v>93</v>
      </c>
      <c r="C81" s="64"/>
      <c r="D81" s="64"/>
      <c r="E81" s="64"/>
      <c r="F81" s="64"/>
      <c r="G81" s="47">
        <v>0</v>
      </c>
      <c r="H81" s="119">
        <f>G81*15000</f>
        <v>0</v>
      </c>
      <c r="I81" s="54"/>
      <c r="J81" s="54"/>
      <c r="K81" s="47">
        <v>0</v>
      </c>
      <c r="L81" s="119">
        <f>K81*15000</f>
        <v>0</v>
      </c>
      <c r="M81" s="54"/>
      <c r="N81" s="54"/>
      <c r="O81" s="47">
        <v>0</v>
      </c>
      <c r="P81" s="119">
        <f>O81*15000</f>
        <v>0</v>
      </c>
      <c r="Q81" s="54"/>
      <c r="R81" s="180"/>
    </row>
    <row r="82" spans="1:18" s="38" customFormat="1" x14ac:dyDescent="0.2">
      <c r="A82" s="25"/>
      <c r="B82" s="205" t="s">
        <v>94</v>
      </c>
      <c r="C82" s="64">
        <f>G82+K82+O82</f>
        <v>0</v>
      </c>
      <c r="D82" s="64">
        <f>H82+L82+P82</f>
        <v>0</v>
      </c>
      <c r="E82" s="64">
        <f>I82+M82+Q82</f>
        <v>0</v>
      </c>
      <c r="F82" s="64">
        <f>J82+N82+R82</f>
        <v>0</v>
      </c>
      <c r="G82" s="54">
        <v>0</v>
      </c>
      <c r="H82" s="119">
        <f>G82*130000</f>
        <v>0</v>
      </c>
      <c r="I82" s="54"/>
      <c r="J82" s="54"/>
      <c r="K82" s="54">
        <v>0</v>
      </c>
      <c r="L82" s="119">
        <f>K82*130000</f>
        <v>0</v>
      </c>
      <c r="M82" s="54"/>
      <c r="N82" s="54"/>
      <c r="O82" s="54">
        <v>0</v>
      </c>
      <c r="P82" s="119">
        <f>O82*130000</f>
        <v>0</v>
      </c>
      <c r="Q82" s="54"/>
      <c r="R82" s="180"/>
    </row>
    <row r="83" spans="1:18" s="38" customFormat="1" ht="15" x14ac:dyDescent="0.25">
      <c r="A83" s="25"/>
      <c r="B83" s="48" t="s">
        <v>95</v>
      </c>
      <c r="C83" s="64">
        <f t="shared" ref="C83:F83" si="34">G83+K83+O83</f>
        <v>0</v>
      </c>
      <c r="D83" s="64">
        <f t="shared" si="34"/>
        <v>0</v>
      </c>
      <c r="E83" s="64">
        <f t="shared" si="34"/>
        <v>0</v>
      </c>
      <c r="F83" s="64">
        <f t="shared" si="34"/>
        <v>0</v>
      </c>
      <c r="G83" s="47">
        <v>0</v>
      </c>
      <c r="H83" s="119">
        <f>G83*5000</f>
        <v>0</v>
      </c>
      <c r="I83" s="54"/>
      <c r="J83" s="54"/>
      <c r="K83" s="47">
        <v>0</v>
      </c>
      <c r="L83" s="119">
        <f>K83*5000</f>
        <v>0</v>
      </c>
      <c r="M83" s="54"/>
      <c r="N83" s="54"/>
      <c r="O83" s="47">
        <v>0</v>
      </c>
      <c r="P83" s="119">
        <f>O83*5000</f>
        <v>0</v>
      </c>
      <c r="Q83" s="54"/>
      <c r="R83" s="180"/>
    </row>
    <row r="84" spans="1:18" s="141" customFormat="1" ht="15" customHeight="1" x14ac:dyDescent="0.25">
      <c r="A84" s="25"/>
      <c r="B84" s="205" t="s">
        <v>96</v>
      </c>
      <c r="C84" s="64">
        <f t="shared" ref="C84:F89" si="35">G84+K84+O84</f>
        <v>4</v>
      </c>
      <c r="D84" s="64">
        <f t="shared" si="35"/>
        <v>20000</v>
      </c>
      <c r="E84" s="64">
        <f t="shared" si="35"/>
        <v>0</v>
      </c>
      <c r="F84" s="64">
        <f t="shared" si="35"/>
        <v>0</v>
      </c>
      <c r="G84" s="47">
        <v>2</v>
      </c>
      <c r="H84" s="119">
        <f>G84*5000</f>
        <v>10000</v>
      </c>
      <c r="I84" s="54"/>
      <c r="J84" s="54"/>
      <c r="K84" s="47">
        <v>0</v>
      </c>
      <c r="L84" s="119">
        <f>K84*5000</f>
        <v>0</v>
      </c>
      <c r="M84" s="54"/>
      <c r="N84" s="54"/>
      <c r="O84" s="47">
        <v>2</v>
      </c>
      <c r="P84" s="119">
        <f>O84*5000</f>
        <v>10000</v>
      </c>
      <c r="Q84" s="54"/>
      <c r="R84" s="180"/>
    </row>
    <row r="85" spans="1:18" s="141" customFormat="1" ht="15" customHeight="1" x14ac:dyDescent="0.25">
      <c r="A85" s="25"/>
      <c r="B85" s="205" t="s">
        <v>97</v>
      </c>
      <c r="C85" s="64">
        <f t="shared" si="35"/>
        <v>4</v>
      </c>
      <c r="D85" s="64">
        <f t="shared" si="35"/>
        <v>28000</v>
      </c>
      <c r="E85" s="64">
        <f t="shared" si="35"/>
        <v>0</v>
      </c>
      <c r="F85" s="64">
        <f t="shared" si="35"/>
        <v>0</v>
      </c>
      <c r="G85" s="47">
        <v>2</v>
      </c>
      <c r="H85" s="119">
        <f>G85*7000</f>
        <v>14000</v>
      </c>
      <c r="I85" s="54"/>
      <c r="J85" s="54"/>
      <c r="K85" s="47">
        <v>2</v>
      </c>
      <c r="L85" s="119">
        <f>K85*7000</f>
        <v>14000</v>
      </c>
      <c r="M85" s="54"/>
      <c r="N85" s="54"/>
      <c r="O85" s="47">
        <v>0</v>
      </c>
      <c r="P85" s="119">
        <f>O85*7000</f>
        <v>0</v>
      </c>
      <c r="Q85" s="54"/>
      <c r="R85" s="180"/>
    </row>
    <row r="86" spans="1:18" s="141" customFormat="1" ht="15" customHeight="1" x14ac:dyDescent="0.25">
      <c r="A86" s="25"/>
      <c r="B86" s="205" t="s">
        <v>98</v>
      </c>
      <c r="C86" s="64">
        <f t="shared" si="35"/>
        <v>9</v>
      </c>
      <c r="D86" s="64">
        <f t="shared" si="35"/>
        <v>72000</v>
      </c>
      <c r="E86" s="64">
        <f t="shared" si="35"/>
        <v>0</v>
      </c>
      <c r="F86" s="64">
        <f t="shared" si="35"/>
        <v>0</v>
      </c>
      <c r="G86" s="47">
        <v>6</v>
      </c>
      <c r="H86" s="119">
        <f>G86*8000</f>
        <v>48000</v>
      </c>
      <c r="I86" s="54"/>
      <c r="J86" s="54"/>
      <c r="K86" s="47">
        <v>1</v>
      </c>
      <c r="L86" s="119">
        <f>K86*8000</f>
        <v>8000</v>
      </c>
      <c r="M86" s="54"/>
      <c r="N86" s="54"/>
      <c r="O86" s="47">
        <v>2</v>
      </c>
      <c r="P86" s="119">
        <f>O86*8000</f>
        <v>16000</v>
      </c>
      <c r="Q86" s="54"/>
      <c r="R86" s="180"/>
    </row>
    <row r="87" spans="1:18" s="38" customFormat="1" ht="25.5" x14ac:dyDescent="0.25">
      <c r="A87" s="25"/>
      <c r="B87" s="205" t="s">
        <v>99</v>
      </c>
      <c r="C87" s="64">
        <f t="shared" si="35"/>
        <v>0</v>
      </c>
      <c r="D87" s="64">
        <f t="shared" si="35"/>
        <v>0</v>
      </c>
      <c r="E87" s="64">
        <f t="shared" si="35"/>
        <v>0</v>
      </c>
      <c r="F87" s="64">
        <f t="shared" si="35"/>
        <v>0</v>
      </c>
      <c r="G87" s="47">
        <v>0</v>
      </c>
      <c r="H87" s="119">
        <f>G87*8000</f>
        <v>0</v>
      </c>
      <c r="I87" s="54"/>
      <c r="J87" s="54"/>
      <c r="K87" s="47">
        <v>0</v>
      </c>
      <c r="L87" s="119">
        <f>K87*8000</f>
        <v>0</v>
      </c>
      <c r="M87" s="54"/>
      <c r="N87" s="54"/>
      <c r="O87" s="47">
        <v>0</v>
      </c>
      <c r="P87" s="119">
        <f>O87*8000</f>
        <v>0</v>
      </c>
      <c r="Q87" s="54"/>
      <c r="R87" s="180"/>
    </row>
    <row r="88" spans="1:18" s="141" customFormat="1" ht="15" customHeight="1" x14ac:dyDescent="0.25">
      <c r="A88" s="25"/>
      <c r="B88" s="205" t="s">
        <v>100</v>
      </c>
      <c r="C88" s="64">
        <f t="shared" si="35"/>
        <v>0</v>
      </c>
      <c r="D88" s="64">
        <f t="shared" si="35"/>
        <v>0</v>
      </c>
      <c r="E88" s="64">
        <f t="shared" si="35"/>
        <v>0</v>
      </c>
      <c r="F88" s="64">
        <f t="shared" si="35"/>
        <v>0</v>
      </c>
      <c r="G88" s="47">
        <v>0</v>
      </c>
      <c r="H88" s="119">
        <f>G88*25000</f>
        <v>0</v>
      </c>
      <c r="I88" s="54"/>
      <c r="J88" s="54"/>
      <c r="K88" s="47">
        <v>0</v>
      </c>
      <c r="L88" s="119">
        <f>K88*25000</f>
        <v>0</v>
      </c>
      <c r="M88" s="54"/>
      <c r="N88" s="54"/>
      <c r="O88" s="47">
        <v>0</v>
      </c>
      <c r="P88" s="119">
        <f>O88*25000</f>
        <v>0</v>
      </c>
      <c r="Q88" s="54"/>
      <c r="R88" s="180"/>
    </row>
    <row r="89" spans="1:18" s="141" customFormat="1" ht="15" customHeight="1" x14ac:dyDescent="0.2">
      <c r="A89" s="25"/>
      <c r="B89" s="205" t="s">
        <v>101</v>
      </c>
      <c r="C89" s="64">
        <f t="shared" si="35"/>
        <v>17</v>
      </c>
      <c r="D89" s="64">
        <f t="shared" si="35"/>
        <v>25500</v>
      </c>
      <c r="E89" s="64">
        <f t="shared" si="35"/>
        <v>0</v>
      </c>
      <c r="F89" s="64">
        <f t="shared" si="35"/>
        <v>0</v>
      </c>
      <c r="G89" s="54">
        <v>8</v>
      </c>
      <c r="H89" s="119">
        <f>G89*1500</f>
        <v>12000</v>
      </c>
      <c r="I89" s="54"/>
      <c r="J89" s="54"/>
      <c r="K89" s="54">
        <v>5</v>
      </c>
      <c r="L89" s="119">
        <f>K89*1500</f>
        <v>7500</v>
      </c>
      <c r="M89" s="54"/>
      <c r="N89" s="54"/>
      <c r="O89" s="54">
        <v>4</v>
      </c>
      <c r="P89" s="119">
        <f>O89*1500</f>
        <v>6000</v>
      </c>
      <c r="Q89" s="54"/>
      <c r="R89" s="180"/>
    </row>
    <row r="90" spans="1:18" s="38" customFormat="1" ht="15" x14ac:dyDescent="0.25">
      <c r="A90" s="25"/>
      <c r="B90" s="205" t="s">
        <v>102</v>
      </c>
      <c r="C90" s="64">
        <f t="shared" ref="C90:C91" si="36">G90+K90+O90</f>
        <v>27</v>
      </c>
      <c r="D90" s="64">
        <f t="shared" ref="D90:D91" si="37">H90+L90+P90</f>
        <v>945000</v>
      </c>
      <c r="E90" s="64">
        <f t="shared" ref="E90:E91" si="38">I90+M90+Q90</f>
        <v>0</v>
      </c>
      <c r="F90" s="64">
        <f t="shared" ref="F90:F91" si="39">J90+N90+R90</f>
        <v>0</v>
      </c>
      <c r="G90" s="47">
        <v>15</v>
      </c>
      <c r="H90" s="119">
        <f>G90*35000</f>
        <v>525000</v>
      </c>
      <c r="I90" s="54"/>
      <c r="J90" s="54"/>
      <c r="K90" s="47">
        <v>5</v>
      </c>
      <c r="L90" s="119">
        <f>K90*35000</f>
        <v>175000</v>
      </c>
      <c r="M90" s="54"/>
      <c r="N90" s="54"/>
      <c r="O90" s="47">
        <v>7</v>
      </c>
      <c r="P90" s="119">
        <f>O90*35000</f>
        <v>245000</v>
      </c>
      <c r="Q90" s="54"/>
      <c r="R90" s="180"/>
    </row>
    <row r="91" spans="1:18" s="141" customFormat="1" ht="15" customHeight="1" thickBot="1" x14ac:dyDescent="0.25">
      <c r="A91" s="181"/>
      <c r="B91" s="182" t="s">
        <v>103</v>
      </c>
      <c r="C91" s="239">
        <f t="shared" si="36"/>
        <v>0</v>
      </c>
      <c r="D91" s="239">
        <f t="shared" si="37"/>
        <v>0</v>
      </c>
      <c r="E91" s="239">
        <f t="shared" si="38"/>
        <v>0</v>
      </c>
      <c r="F91" s="239">
        <f t="shared" si="39"/>
        <v>0</v>
      </c>
      <c r="G91" s="200"/>
      <c r="H91" s="184"/>
      <c r="I91" s="200"/>
      <c r="J91" s="200"/>
      <c r="K91" s="200"/>
      <c r="L91" s="184"/>
      <c r="M91" s="200"/>
      <c r="N91" s="200"/>
      <c r="O91" s="200"/>
      <c r="P91" s="184"/>
      <c r="Q91" s="200"/>
      <c r="R91" s="186"/>
    </row>
    <row r="92" spans="1:18" ht="13.5" thickBot="1" x14ac:dyDescent="0.25">
      <c r="A92" s="232"/>
      <c r="B92" s="233" t="s">
        <v>159</v>
      </c>
      <c r="C92" s="234">
        <f t="shared" ref="C92:R92" si="40">SUM(C79:C91)</f>
        <v>67</v>
      </c>
      <c r="D92" s="234">
        <f t="shared" si="40"/>
        <v>4090500</v>
      </c>
      <c r="E92" s="234">
        <f t="shared" si="40"/>
        <v>0</v>
      </c>
      <c r="F92" s="234">
        <f t="shared" si="40"/>
        <v>0</v>
      </c>
      <c r="G92" s="234">
        <f t="shared" si="40"/>
        <v>35</v>
      </c>
      <c r="H92" s="234">
        <f t="shared" si="40"/>
        <v>1609000</v>
      </c>
      <c r="I92" s="234">
        <f t="shared" si="40"/>
        <v>0</v>
      </c>
      <c r="J92" s="234">
        <f t="shared" si="40"/>
        <v>0</v>
      </c>
      <c r="K92" s="234">
        <f t="shared" si="40"/>
        <v>15</v>
      </c>
      <c r="L92" s="234">
        <f t="shared" si="40"/>
        <v>1204500</v>
      </c>
      <c r="M92" s="234">
        <f t="shared" si="40"/>
        <v>0</v>
      </c>
      <c r="N92" s="234">
        <f t="shared" si="40"/>
        <v>0</v>
      </c>
      <c r="O92" s="234">
        <f t="shared" si="40"/>
        <v>17</v>
      </c>
      <c r="P92" s="234">
        <f t="shared" si="40"/>
        <v>1277000</v>
      </c>
      <c r="Q92" s="234">
        <f t="shared" si="40"/>
        <v>0</v>
      </c>
      <c r="R92" s="234">
        <f t="shared" si="40"/>
        <v>0</v>
      </c>
    </row>
    <row r="93" spans="1:18" x14ac:dyDescent="0.2">
      <c r="A93" s="210" t="s">
        <v>10</v>
      </c>
      <c r="B93" s="211" t="s">
        <v>104</v>
      </c>
      <c r="C93" s="213"/>
      <c r="D93" s="213"/>
      <c r="E93" s="213"/>
      <c r="F93" s="213"/>
      <c r="G93" s="177"/>
      <c r="H93" s="178"/>
      <c r="I93" s="177"/>
      <c r="J93" s="177"/>
      <c r="K93" s="177"/>
      <c r="L93" s="178"/>
      <c r="M93" s="177"/>
      <c r="N93" s="177"/>
      <c r="O93" s="177"/>
      <c r="P93" s="178"/>
      <c r="Q93" s="177"/>
      <c r="R93" s="179"/>
    </row>
    <row r="94" spans="1:18" s="141" customFormat="1" ht="15" x14ac:dyDescent="0.25">
      <c r="A94" s="143"/>
      <c r="B94" s="205" t="s">
        <v>105</v>
      </c>
      <c r="C94" s="64">
        <f t="shared" ref="C94:F94" si="41">G94+K94+O94</f>
        <v>0</v>
      </c>
      <c r="D94" s="64">
        <f t="shared" si="41"/>
        <v>0</v>
      </c>
      <c r="E94" s="64">
        <f t="shared" si="41"/>
        <v>0</v>
      </c>
      <c r="F94" s="64">
        <f t="shared" si="41"/>
        <v>0</v>
      </c>
      <c r="G94" s="47"/>
      <c r="H94" s="119"/>
      <c r="I94" s="54"/>
      <c r="J94" s="54"/>
      <c r="K94" s="47"/>
      <c r="L94" s="119"/>
      <c r="M94" s="54"/>
      <c r="N94" s="54"/>
      <c r="O94" s="47"/>
      <c r="P94" s="119"/>
      <c r="Q94" s="54"/>
      <c r="R94" s="180"/>
    </row>
    <row r="95" spans="1:18" s="38" customFormat="1" ht="15" x14ac:dyDescent="0.25">
      <c r="A95" s="25"/>
      <c r="B95" s="48" t="s">
        <v>106</v>
      </c>
      <c r="C95" s="64">
        <f t="shared" ref="C95:C104" si="42">G95+K95+O95</f>
        <v>0</v>
      </c>
      <c r="D95" s="64">
        <f t="shared" ref="D95:D132" si="43">H95+L95+P95</f>
        <v>0</v>
      </c>
      <c r="E95" s="64">
        <f t="shared" ref="E95:E132" si="44">I95+M95+Q95</f>
        <v>0</v>
      </c>
      <c r="F95" s="64">
        <f t="shared" ref="F95:F132" si="45">J95+N95+R95</f>
        <v>0</v>
      </c>
      <c r="G95" s="47"/>
      <c r="H95" s="119"/>
      <c r="I95" s="54"/>
      <c r="J95" s="54"/>
      <c r="K95" s="47"/>
      <c r="L95" s="119"/>
      <c r="M95" s="54"/>
      <c r="N95" s="54"/>
      <c r="O95" s="47"/>
      <c r="P95" s="119"/>
      <c r="Q95" s="54"/>
      <c r="R95" s="180"/>
    </row>
    <row r="96" spans="1:18" s="38" customFormat="1" ht="15" x14ac:dyDescent="0.25">
      <c r="A96" s="25"/>
      <c r="B96" s="48" t="s">
        <v>107</v>
      </c>
      <c r="C96" s="64">
        <f t="shared" si="42"/>
        <v>0</v>
      </c>
      <c r="D96" s="64">
        <f t="shared" si="43"/>
        <v>0</v>
      </c>
      <c r="E96" s="64">
        <f t="shared" si="44"/>
        <v>0</v>
      </c>
      <c r="F96" s="64">
        <f t="shared" si="45"/>
        <v>0</v>
      </c>
      <c r="G96" s="47"/>
      <c r="H96" s="119"/>
      <c r="I96" s="54"/>
      <c r="J96" s="54"/>
      <c r="K96" s="47"/>
      <c r="L96" s="119"/>
      <c r="M96" s="54"/>
      <c r="N96" s="54"/>
      <c r="O96" s="47"/>
      <c r="P96" s="119"/>
      <c r="Q96" s="54"/>
      <c r="R96" s="180"/>
    </row>
    <row r="97" spans="1:18" s="38" customFormat="1" ht="25.5" x14ac:dyDescent="0.25">
      <c r="A97" s="25"/>
      <c r="B97" s="208" t="s">
        <v>109</v>
      </c>
      <c r="C97" s="64">
        <f t="shared" si="42"/>
        <v>0</v>
      </c>
      <c r="D97" s="64">
        <f t="shared" si="43"/>
        <v>0</v>
      </c>
      <c r="E97" s="64">
        <f t="shared" si="44"/>
        <v>0</v>
      </c>
      <c r="F97" s="64">
        <f t="shared" si="45"/>
        <v>0</v>
      </c>
      <c r="G97" s="47"/>
      <c r="H97" s="119"/>
      <c r="I97" s="54"/>
      <c r="J97" s="54"/>
      <c r="K97" s="47"/>
      <c r="L97" s="119"/>
      <c r="M97" s="54"/>
      <c r="N97" s="54"/>
      <c r="O97" s="47"/>
      <c r="P97" s="119"/>
      <c r="Q97" s="54"/>
      <c r="R97" s="180"/>
    </row>
    <row r="98" spans="1:18" s="38" customFormat="1" ht="15" x14ac:dyDescent="0.25">
      <c r="A98" s="25"/>
      <c r="B98" s="208" t="s">
        <v>111</v>
      </c>
      <c r="C98" s="64">
        <f t="shared" si="42"/>
        <v>0</v>
      </c>
      <c r="D98" s="64">
        <f t="shared" si="43"/>
        <v>0</v>
      </c>
      <c r="E98" s="64">
        <f t="shared" si="44"/>
        <v>0</v>
      </c>
      <c r="F98" s="64">
        <f t="shared" si="45"/>
        <v>0</v>
      </c>
      <c r="G98" s="47"/>
      <c r="H98" s="119"/>
      <c r="I98" s="54"/>
      <c r="J98" s="54"/>
      <c r="K98" s="47"/>
      <c r="L98" s="119"/>
      <c r="M98" s="54"/>
      <c r="N98" s="54"/>
      <c r="O98" s="47"/>
      <c r="P98" s="119"/>
      <c r="Q98" s="54"/>
      <c r="R98" s="180"/>
    </row>
    <row r="99" spans="1:18" s="38" customFormat="1" ht="15" x14ac:dyDescent="0.25">
      <c r="A99" s="25"/>
      <c r="B99" s="208" t="s">
        <v>113</v>
      </c>
      <c r="C99" s="64">
        <f t="shared" si="42"/>
        <v>0</v>
      </c>
      <c r="D99" s="64">
        <f t="shared" si="43"/>
        <v>0</v>
      </c>
      <c r="E99" s="64">
        <f t="shared" si="44"/>
        <v>0</v>
      </c>
      <c r="F99" s="64">
        <f t="shared" si="45"/>
        <v>0</v>
      </c>
      <c r="G99" s="47"/>
      <c r="H99" s="119"/>
      <c r="I99" s="54"/>
      <c r="J99" s="54"/>
      <c r="K99" s="47"/>
      <c r="L99" s="119"/>
      <c r="M99" s="54"/>
      <c r="N99" s="54"/>
      <c r="O99" s="47"/>
      <c r="P99" s="119"/>
      <c r="Q99" s="54"/>
      <c r="R99" s="180"/>
    </row>
    <row r="100" spans="1:18" s="38" customFormat="1" ht="25.5" x14ac:dyDescent="0.25">
      <c r="A100" s="25"/>
      <c r="B100" s="208" t="s">
        <v>115</v>
      </c>
      <c r="C100" s="64">
        <f t="shared" si="42"/>
        <v>0</v>
      </c>
      <c r="D100" s="64">
        <f t="shared" si="43"/>
        <v>0</v>
      </c>
      <c r="E100" s="64">
        <f t="shared" si="44"/>
        <v>0</v>
      </c>
      <c r="F100" s="64">
        <f t="shared" si="45"/>
        <v>0</v>
      </c>
      <c r="G100" s="47"/>
      <c r="H100" s="119"/>
      <c r="I100" s="54"/>
      <c r="J100" s="54"/>
      <c r="K100" s="47"/>
      <c r="L100" s="119"/>
      <c r="M100" s="54"/>
      <c r="N100" s="54"/>
      <c r="O100" s="47"/>
      <c r="P100" s="119"/>
      <c r="Q100" s="54"/>
      <c r="R100" s="180"/>
    </row>
    <row r="101" spans="1:18" s="38" customFormat="1" ht="15" x14ac:dyDescent="0.25">
      <c r="A101" s="25"/>
      <c r="B101" s="208" t="s">
        <v>279</v>
      </c>
      <c r="C101" s="64"/>
      <c r="D101" s="64"/>
      <c r="E101" s="64"/>
      <c r="F101" s="64"/>
      <c r="G101" s="47"/>
      <c r="H101" s="119"/>
      <c r="I101" s="54"/>
      <c r="J101" s="54"/>
      <c r="K101" s="47"/>
      <c r="L101" s="119"/>
      <c r="M101" s="54"/>
      <c r="N101" s="54"/>
      <c r="O101" s="47"/>
      <c r="P101" s="119"/>
      <c r="Q101" s="54"/>
      <c r="R101" s="180"/>
    </row>
    <row r="102" spans="1:18" s="38" customFormat="1" ht="15" x14ac:dyDescent="0.25">
      <c r="A102" s="25"/>
      <c r="B102" s="205" t="s">
        <v>116</v>
      </c>
      <c r="C102" s="64">
        <f t="shared" si="42"/>
        <v>0</v>
      </c>
      <c r="D102" s="64">
        <f t="shared" si="43"/>
        <v>0</v>
      </c>
      <c r="E102" s="64">
        <f t="shared" si="44"/>
        <v>0</v>
      </c>
      <c r="F102" s="64">
        <f t="shared" si="45"/>
        <v>0</v>
      </c>
      <c r="G102" s="47"/>
      <c r="H102" s="119"/>
      <c r="I102" s="54"/>
      <c r="J102" s="54"/>
      <c r="K102" s="47"/>
      <c r="L102" s="119"/>
      <c r="M102" s="54"/>
      <c r="N102" s="54"/>
      <c r="O102" s="47"/>
      <c r="P102" s="119"/>
      <c r="Q102" s="54"/>
      <c r="R102" s="180"/>
    </row>
    <row r="103" spans="1:18" s="141" customFormat="1" ht="15" x14ac:dyDescent="0.25">
      <c r="A103" s="25"/>
      <c r="B103" s="208" t="s">
        <v>117</v>
      </c>
      <c r="C103" s="64">
        <f t="shared" si="42"/>
        <v>0</v>
      </c>
      <c r="D103" s="64">
        <f t="shared" si="43"/>
        <v>0</v>
      </c>
      <c r="E103" s="64">
        <f t="shared" si="44"/>
        <v>0</v>
      </c>
      <c r="F103" s="64">
        <f t="shared" si="45"/>
        <v>0</v>
      </c>
      <c r="G103" s="47"/>
      <c r="H103" s="119"/>
      <c r="I103" s="54"/>
      <c r="J103" s="54"/>
      <c r="K103" s="47"/>
      <c r="L103" s="119"/>
      <c r="M103" s="54"/>
      <c r="N103" s="54"/>
      <c r="O103" s="47"/>
      <c r="P103" s="119"/>
      <c r="Q103" s="54"/>
      <c r="R103" s="180"/>
    </row>
    <row r="104" spans="1:18" s="38" customFormat="1" x14ac:dyDescent="0.2">
      <c r="A104" s="25"/>
      <c r="B104" s="48" t="s">
        <v>118</v>
      </c>
      <c r="C104" s="64">
        <f t="shared" si="42"/>
        <v>0</v>
      </c>
      <c r="D104" s="64">
        <f t="shared" si="43"/>
        <v>0</v>
      </c>
      <c r="E104" s="64">
        <f t="shared" si="44"/>
        <v>0</v>
      </c>
      <c r="F104" s="64">
        <f t="shared" si="45"/>
        <v>0</v>
      </c>
      <c r="G104" s="54"/>
      <c r="H104" s="119"/>
      <c r="I104" s="54"/>
      <c r="J104" s="54"/>
      <c r="K104" s="54"/>
      <c r="L104" s="119"/>
      <c r="M104" s="54"/>
      <c r="N104" s="54"/>
      <c r="O104" s="54"/>
      <c r="P104" s="119"/>
      <c r="Q104" s="54"/>
      <c r="R104" s="180"/>
    </row>
    <row r="105" spans="1:18" s="141" customFormat="1" x14ac:dyDescent="0.2">
      <c r="A105" s="143"/>
      <c r="B105" s="205" t="s">
        <v>119</v>
      </c>
      <c r="C105" s="64">
        <f t="shared" ref="C105:C132" si="46">G105+K105+O105</f>
        <v>0</v>
      </c>
      <c r="D105" s="64">
        <f t="shared" si="43"/>
        <v>0</v>
      </c>
      <c r="E105" s="64">
        <f t="shared" si="44"/>
        <v>0</v>
      </c>
      <c r="F105" s="64">
        <f t="shared" si="45"/>
        <v>0</v>
      </c>
      <c r="G105" s="54"/>
      <c r="H105" s="119"/>
      <c r="I105" s="54"/>
      <c r="J105" s="54"/>
      <c r="K105" s="54"/>
      <c r="L105" s="119"/>
      <c r="M105" s="54"/>
      <c r="N105" s="54"/>
      <c r="O105" s="54"/>
      <c r="P105" s="119"/>
      <c r="Q105" s="54"/>
      <c r="R105" s="180"/>
    </row>
    <row r="106" spans="1:18" s="141" customFormat="1" ht="15" x14ac:dyDescent="0.25">
      <c r="A106" s="143"/>
      <c r="B106" s="48" t="s">
        <v>120</v>
      </c>
      <c r="C106" s="64">
        <f t="shared" si="46"/>
        <v>0</v>
      </c>
      <c r="D106" s="64">
        <f t="shared" si="43"/>
        <v>0</v>
      </c>
      <c r="E106" s="64">
        <f t="shared" si="44"/>
        <v>0</v>
      </c>
      <c r="F106" s="64">
        <f t="shared" si="45"/>
        <v>0</v>
      </c>
      <c r="G106" s="47"/>
      <c r="H106" s="119"/>
      <c r="I106" s="54"/>
      <c r="J106" s="54"/>
      <c r="K106" s="47"/>
      <c r="L106" s="119"/>
      <c r="M106" s="54"/>
      <c r="N106" s="54"/>
      <c r="O106" s="47"/>
      <c r="P106" s="119"/>
      <c r="Q106" s="54"/>
      <c r="R106" s="180"/>
    </row>
    <row r="107" spans="1:18" s="38" customFormat="1" ht="25.5" x14ac:dyDescent="0.2">
      <c r="A107" s="25"/>
      <c r="B107" s="320" t="s">
        <v>122</v>
      </c>
      <c r="C107" s="64">
        <f t="shared" si="46"/>
        <v>0</v>
      </c>
      <c r="D107" s="64">
        <f t="shared" si="43"/>
        <v>0</v>
      </c>
      <c r="E107" s="64">
        <f t="shared" si="44"/>
        <v>0</v>
      </c>
      <c r="F107" s="64">
        <f t="shared" si="45"/>
        <v>0</v>
      </c>
      <c r="G107" s="54"/>
      <c r="H107" s="119"/>
      <c r="I107" s="54"/>
      <c r="J107" s="54"/>
      <c r="K107" s="54"/>
      <c r="L107" s="119"/>
      <c r="M107" s="54"/>
      <c r="N107" s="54"/>
      <c r="O107" s="54"/>
      <c r="P107" s="119"/>
      <c r="Q107" s="54"/>
      <c r="R107" s="180"/>
    </row>
    <row r="108" spans="1:18" s="38" customFormat="1" ht="25.5" x14ac:dyDescent="0.2">
      <c r="A108" s="25"/>
      <c r="B108" s="209" t="s">
        <v>124</v>
      </c>
      <c r="C108" s="64">
        <f t="shared" si="46"/>
        <v>0</v>
      </c>
      <c r="D108" s="64">
        <f t="shared" si="43"/>
        <v>0</v>
      </c>
      <c r="E108" s="64">
        <f t="shared" si="44"/>
        <v>0</v>
      </c>
      <c r="F108" s="64">
        <f t="shared" si="45"/>
        <v>0</v>
      </c>
      <c r="G108" s="54"/>
      <c r="H108" s="119"/>
      <c r="I108" s="54"/>
      <c r="J108" s="54"/>
      <c r="K108" s="54"/>
      <c r="L108" s="119"/>
      <c r="M108" s="54"/>
      <c r="N108" s="54"/>
      <c r="O108" s="54"/>
      <c r="P108" s="119"/>
      <c r="Q108" s="54"/>
      <c r="R108" s="180"/>
    </row>
    <row r="109" spans="1:18" s="38" customFormat="1" ht="25.5" x14ac:dyDescent="0.2">
      <c r="A109" s="25"/>
      <c r="B109" s="320" t="s">
        <v>126</v>
      </c>
      <c r="C109" s="64">
        <f t="shared" si="46"/>
        <v>0</v>
      </c>
      <c r="D109" s="64">
        <f t="shared" si="43"/>
        <v>0</v>
      </c>
      <c r="E109" s="64">
        <f t="shared" si="44"/>
        <v>0</v>
      </c>
      <c r="F109" s="64">
        <f t="shared" si="45"/>
        <v>0</v>
      </c>
      <c r="G109" s="54"/>
      <c r="H109" s="119"/>
      <c r="I109" s="54"/>
      <c r="J109" s="54"/>
      <c r="K109" s="54"/>
      <c r="L109" s="119"/>
      <c r="M109" s="54"/>
      <c r="N109" s="54"/>
      <c r="O109" s="54"/>
      <c r="P109" s="119"/>
      <c r="Q109" s="54"/>
      <c r="R109" s="180"/>
    </row>
    <row r="110" spans="1:18" s="38" customFormat="1" ht="25.5" x14ac:dyDescent="0.2">
      <c r="A110" s="25"/>
      <c r="B110" s="320" t="s">
        <v>128</v>
      </c>
      <c r="C110" s="64">
        <f>G110+K110+O110</f>
        <v>0</v>
      </c>
      <c r="D110" s="64">
        <f>H110+L110+P110</f>
        <v>0</v>
      </c>
      <c r="E110" s="64">
        <f>I110+M110+Q110</f>
        <v>0</v>
      </c>
      <c r="F110" s="64">
        <f>J110+N110+R110</f>
        <v>0</v>
      </c>
      <c r="G110" s="54"/>
      <c r="H110" s="119"/>
      <c r="I110" s="54"/>
      <c r="J110" s="54"/>
      <c r="K110" s="54"/>
      <c r="L110" s="119"/>
      <c r="M110" s="54"/>
      <c r="N110" s="54"/>
      <c r="O110" s="54"/>
      <c r="P110" s="119"/>
      <c r="Q110" s="54"/>
      <c r="R110" s="180"/>
    </row>
    <row r="111" spans="1:18" s="38" customFormat="1" x14ac:dyDescent="0.2">
      <c r="A111" s="25"/>
      <c r="B111" s="320" t="s">
        <v>130</v>
      </c>
      <c r="C111" s="64">
        <f t="shared" si="46"/>
        <v>0</v>
      </c>
      <c r="D111" s="64">
        <f t="shared" si="43"/>
        <v>0</v>
      </c>
      <c r="E111" s="64">
        <f t="shared" si="44"/>
        <v>0</v>
      </c>
      <c r="F111" s="64">
        <f t="shared" si="45"/>
        <v>0</v>
      </c>
      <c r="G111" s="54"/>
      <c r="H111" s="119"/>
      <c r="I111" s="54"/>
      <c r="J111" s="54"/>
      <c r="K111" s="54"/>
      <c r="L111" s="119"/>
      <c r="M111" s="54"/>
      <c r="N111" s="54"/>
      <c r="O111" s="54"/>
      <c r="P111" s="119"/>
      <c r="Q111" s="54"/>
      <c r="R111" s="180"/>
    </row>
    <row r="112" spans="1:18" s="38" customFormat="1" x14ac:dyDescent="0.2">
      <c r="A112" s="25"/>
      <c r="B112" s="320" t="s">
        <v>280</v>
      </c>
      <c r="C112" s="64">
        <f t="shared" ref="C112:F114" si="47">G112+K112+O112</f>
        <v>0</v>
      </c>
      <c r="D112" s="64">
        <f t="shared" si="47"/>
        <v>0</v>
      </c>
      <c r="E112" s="64">
        <f t="shared" si="47"/>
        <v>0</v>
      </c>
      <c r="F112" s="64">
        <f t="shared" si="47"/>
        <v>0</v>
      </c>
      <c r="G112" s="54"/>
      <c r="H112" s="119"/>
      <c r="I112" s="54"/>
      <c r="J112" s="54"/>
      <c r="K112" s="54"/>
      <c r="L112" s="119"/>
      <c r="M112" s="54"/>
      <c r="N112" s="54"/>
      <c r="O112" s="54"/>
      <c r="P112" s="119"/>
      <c r="Q112" s="54"/>
      <c r="R112" s="180"/>
    </row>
    <row r="113" spans="1:18" s="38" customFormat="1" x14ac:dyDescent="0.2">
      <c r="A113" s="25"/>
      <c r="B113" s="320" t="s">
        <v>133</v>
      </c>
      <c r="C113" s="64">
        <f t="shared" si="47"/>
        <v>0</v>
      </c>
      <c r="D113" s="64">
        <f t="shared" si="47"/>
        <v>0</v>
      </c>
      <c r="E113" s="64">
        <f t="shared" si="47"/>
        <v>0</v>
      </c>
      <c r="F113" s="64">
        <f t="shared" si="47"/>
        <v>0</v>
      </c>
      <c r="G113" s="54"/>
      <c r="H113" s="119"/>
      <c r="I113" s="54"/>
      <c r="J113" s="54"/>
      <c r="K113" s="54"/>
      <c r="L113" s="119"/>
      <c r="M113" s="54"/>
      <c r="N113" s="54"/>
      <c r="O113" s="54"/>
      <c r="P113" s="119"/>
      <c r="Q113" s="54"/>
      <c r="R113" s="180"/>
    </row>
    <row r="114" spans="1:18" s="141" customFormat="1" ht="13.5" customHeight="1" x14ac:dyDescent="0.2">
      <c r="A114" s="25"/>
      <c r="B114" s="208" t="s">
        <v>134</v>
      </c>
      <c r="C114" s="64">
        <f t="shared" si="47"/>
        <v>0</v>
      </c>
      <c r="D114" s="64">
        <f t="shared" si="47"/>
        <v>0</v>
      </c>
      <c r="E114" s="64">
        <f t="shared" si="47"/>
        <v>0</v>
      </c>
      <c r="F114" s="64">
        <f t="shared" si="47"/>
        <v>0</v>
      </c>
      <c r="G114" s="54"/>
      <c r="H114" s="119"/>
      <c r="I114" s="54"/>
      <c r="J114" s="54"/>
      <c r="K114" s="54"/>
      <c r="L114" s="119"/>
      <c r="M114" s="54"/>
      <c r="N114" s="54"/>
      <c r="O114" s="54"/>
      <c r="P114" s="119"/>
      <c r="Q114" s="54"/>
      <c r="R114" s="180"/>
    </row>
    <row r="115" spans="1:18" s="141" customFormat="1" ht="13.5" customHeight="1" x14ac:dyDescent="0.2">
      <c r="A115" s="25"/>
      <c r="B115" s="208" t="s">
        <v>135</v>
      </c>
      <c r="C115" s="64"/>
      <c r="D115" s="64"/>
      <c r="E115" s="64"/>
      <c r="F115" s="64"/>
      <c r="G115" s="54"/>
      <c r="H115" s="119"/>
      <c r="I115" s="54"/>
      <c r="J115" s="54"/>
      <c r="K115" s="54"/>
      <c r="L115" s="119"/>
      <c r="M115" s="54"/>
      <c r="N115" s="54"/>
      <c r="O115" s="54"/>
      <c r="P115" s="119"/>
      <c r="Q115" s="54"/>
      <c r="R115" s="180"/>
    </row>
    <row r="116" spans="1:18" s="141" customFormat="1" ht="38.25" x14ac:dyDescent="0.2">
      <c r="A116" s="25"/>
      <c r="B116" s="208" t="s">
        <v>136</v>
      </c>
      <c r="C116" s="64"/>
      <c r="D116" s="64">
        <f>H116+L116+P116</f>
        <v>0</v>
      </c>
      <c r="E116" s="64">
        <f>I116+M116+Q116</f>
        <v>0</v>
      </c>
      <c r="F116" s="64">
        <f>J116+N116+R116</f>
        <v>0</v>
      </c>
      <c r="G116" s="54"/>
      <c r="H116" s="119"/>
      <c r="I116" s="54"/>
      <c r="J116" s="54"/>
      <c r="K116" s="54"/>
      <c r="L116" s="119"/>
      <c r="M116" s="54"/>
      <c r="N116" s="54"/>
      <c r="O116" s="54"/>
      <c r="P116" s="119"/>
      <c r="Q116" s="54"/>
      <c r="R116" s="180"/>
    </row>
    <row r="117" spans="1:18" s="38" customFormat="1" x14ac:dyDescent="0.2">
      <c r="A117" s="25"/>
      <c r="B117" s="205" t="s">
        <v>137</v>
      </c>
      <c r="C117" s="64">
        <f t="shared" ref="C117:F122" si="48">G117+K117+O117</f>
        <v>0</v>
      </c>
      <c r="D117" s="64">
        <f t="shared" si="48"/>
        <v>0</v>
      </c>
      <c r="E117" s="64">
        <f t="shared" si="48"/>
        <v>0</v>
      </c>
      <c r="F117" s="64">
        <f t="shared" si="48"/>
        <v>0</v>
      </c>
      <c r="G117" s="54"/>
      <c r="H117" s="119"/>
      <c r="I117" s="54"/>
      <c r="J117" s="54"/>
      <c r="K117" s="54"/>
      <c r="L117" s="119"/>
      <c r="M117" s="54"/>
      <c r="N117" s="54"/>
      <c r="O117" s="54"/>
      <c r="P117" s="119"/>
      <c r="Q117" s="54"/>
      <c r="R117" s="180"/>
    </row>
    <row r="118" spans="1:18" s="38" customFormat="1" x14ac:dyDescent="0.2">
      <c r="A118" s="25"/>
      <c r="B118" s="205" t="s">
        <v>138</v>
      </c>
      <c r="C118" s="64">
        <f t="shared" si="48"/>
        <v>0</v>
      </c>
      <c r="D118" s="64">
        <f t="shared" si="48"/>
        <v>0</v>
      </c>
      <c r="E118" s="64">
        <f t="shared" si="48"/>
        <v>0</v>
      </c>
      <c r="F118" s="64">
        <f t="shared" si="48"/>
        <v>0</v>
      </c>
      <c r="G118" s="54"/>
      <c r="H118" s="119"/>
      <c r="I118" s="54"/>
      <c r="J118" s="54"/>
      <c r="K118" s="54"/>
      <c r="L118" s="119"/>
      <c r="M118" s="54"/>
      <c r="N118" s="54"/>
      <c r="O118" s="54"/>
      <c r="P118" s="119"/>
      <c r="Q118" s="54"/>
      <c r="R118" s="180"/>
    </row>
    <row r="119" spans="1:18" s="38" customFormat="1" x14ac:dyDescent="0.2">
      <c r="A119" s="25"/>
      <c r="B119" s="48" t="s">
        <v>139</v>
      </c>
      <c r="C119" s="64">
        <f t="shared" si="48"/>
        <v>0</v>
      </c>
      <c r="D119" s="64">
        <f t="shared" si="48"/>
        <v>0</v>
      </c>
      <c r="E119" s="64">
        <f t="shared" si="48"/>
        <v>0</v>
      </c>
      <c r="F119" s="64">
        <f t="shared" si="48"/>
        <v>0</v>
      </c>
      <c r="G119" s="54"/>
      <c r="H119" s="119"/>
      <c r="I119" s="54"/>
      <c r="J119" s="54"/>
      <c r="K119" s="54"/>
      <c r="L119" s="119"/>
      <c r="M119" s="54"/>
      <c r="N119" s="54"/>
      <c r="O119" s="54"/>
      <c r="P119" s="119"/>
      <c r="Q119" s="54"/>
      <c r="R119" s="180"/>
    </row>
    <row r="120" spans="1:18" s="38" customFormat="1" x14ac:dyDescent="0.2">
      <c r="A120" s="25"/>
      <c r="B120" s="48" t="s">
        <v>140</v>
      </c>
      <c r="C120" s="64">
        <f t="shared" si="48"/>
        <v>0</v>
      </c>
      <c r="D120" s="64">
        <f t="shared" si="48"/>
        <v>0</v>
      </c>
      <c r="E120" s="64">
        <f t="shared" si="48"/>
        <v>0</v>
      </c>
      <c r="F120" s="64">
        <f t="shared" si="48"/>
        <v>0</v>
      </c>
      <c r="G120" s="54"/>
      <c r="H120" s="119"/>
      <c r="I120" s="54"/>
      <c r="J120" s="54"/>
      <c r="K120" s="54"/>
      <c r="L120" s="119"/>
      <c r="M120" s="54"/>
      <c r="N120" s="54"/>
      <c r="O120" s="54"/>
      <c r="P120" s="119"/>
      <c r="Q120" s="54"/>
      <c r="R120" s="180"/>
    </row>
    <row r="121" spans="1:18" s="38" customFormat="1" x14ac:dyDescent="0.2">
      <c r="A121" s="25"/>
      <c r="B121" s="48" t="s">
        <v>141</v>
      </c>
      <c r="C121" s="64">
        <f t="shared" si="48"/>
        <v>0</v>
      </c>
      <c r="D121" s="64">
        <f t="shared" si="48"/>
        <v>0</v>
      </c>
      <c r="E121" s="64">
        <f t="shared" si="48"/>
        <v>0</v>
      </c>
      <c r="F121" s="64">
        <f t="shared" si="48"/>
        <v>0</v>
      </c>
      <c r="G121" s="54"/>
      <c r="H121" s="119"/>
      <c r="I121" s="54"/>
      <c r="J121" s="54"/>
      <c r="K121" s="54"/>
      <c r="L121" s="119"/>
      <c r="M121" s="54"/>
      <c r="N121" s="54"/>
      <c r="O121" s="54"/>
      <c r="P121" s="119"/>
      <c r="Q121" s="54"/>
      <c r="R121" s="180"/>
    </row>
    <row r="122" spans="1:18" s="38" customFormat="1" x14ac:dyDescent="0.2">
      <c r="A122" s="25"/>
      <c r="B122" s="48" t="s">
        <v>142</v>
      </c>
      <c r="C122" s="64">
        <f t="shared" si="48"/>
        <v>0</v>
      </c>
      <c r="D122" s="64">
        <f t="shared" si="48"/>
        <v>0</v>
      </c>
      <c r="E122" s="64">
        <f t="shared" si="48"/>
        <v>0</v>
      </c>
      <c r="F122" s="64">
        <f t="shared" si="48"/>
        <v>0</v>
      </c>
      <c r="G122" s="54"/>
      <c r="H122" s="119"/>
      <c r="I122" s="54"/>
      <c r="J122" s="54"/>
      <c r="K122" s="54"/>
      <c r="L122" s="119"/>
      <c r="M122" s="54"/>
      <c r="N122" s="54"/>
      <c r="O122" s="54"/>
      <c r="P122" s="119"/>
      <c r="Q122" s="54"/>
      <c r="R122" s="180"/>
    </row>
    <row r="123" spans="1:18" s="38" customFormat="1" x14ac:dyDescent="0.2">
      <c r="A123" s="25"/>
      <c r="B123" s="205" t="s">
        <v>143</v>
      </c>
      <c r="C123" s="64">
        <f t="shared" ref="C123:F123" si="49">G123+K123+O123</f>
        <v>0</v>
      </c>
      <c r="D123" s="64">
        <f t="shared" si="49"/>
        <v>0</v>
      </c>
      <c r="E123" s="64">
        <f t="shared" si="49"/>
        <v>0</v>
      </c>
      <c r="F123" s="64">
        <f t="shared" si="49"/>
        <v>0</v>
      </c>
      <c r="G123" s="54"/>
      <c r="H123" s="119"/>
      <c r="I123" s="54"/>
      <c r="J123" s="54"/>
      <c r="K123" s="54"/>
      <c r="L123" s="119"/>
      <c r="M123" s="54"/>
      <c r="N123" s="54"/>
      <c r="O123" s="54"/>
      <c r="P123" s="119"/>
      <c r="Q123" s="54"/>
      <c r="R123" s="180"/>
    </row>
    <row r="124" spans="1:18" s="38" customFormat="1" x14ac:dyDescent="0.2">
      <c r="A124" s="25"/>
      <c r="B124" s="48" t="s">
        <v>144</v>
      </c>
      <c r="C124" s="64">
        <f t="shared" si="46"/>
        <v>0</v>
      </c>
      <c r="D124" s="64">
        <f t="shared" si="43"/>
        <v>0</v>
      </c>
      <c r="E124" s="64">
        <f t="shared" si="44"/>
        <v>0</v>
      </c>
      <c r="F124" s="64">
        <f t="shared" si="45"/>
        <v>0</v>
      </c>
      <c r="G124" s="54"/>
      <c r="H124" s="119"/>
      <c r="I124" s="54"/>
      <c r="J124" s="54"/>
      <c r="K124" s="54"/>
      <c r="L124" s="119"/>
      <c r="M124" s="54"/>
      <c r="N124" s="54"/>
      <c r="O124" s="54"/>
      <c r="P124" s="119"/>
      <c r="Q124" s="54"/>
      <c r="R124" s="180"/>
    </row>
    <row r="125" spans="1:18" s="38" customFormat="1" ht="51" x14ac:dyDescent="0.2">
      <c r="A125" s="25"/>
      <c r="B125" s="205" t="s">
        <v>145</v>
      </c>
      <c r="C125" s="64">
        <f>G125+K125+O125</f>
        <v>0</v>
      </c>
      <c r="D125" s="64">
        <f>H125+L125+P125</f>
        <v>0</v>
      </c>
      <c r="E125" s="64">
        <f>I125+M125+Q125</f>
        <v>0</v>
      </c>
      <c r="F125" s="64">
        <f>J125+N125+R125</f>
        <v>0</v>
      </c>
      <c r="G125" s="54"/>
      <c r="H125" s="119"/>
      <c r="I125" s="54"/>
      <c r="J125" s="54"/>
      <c r="K125" s="54"/>
      <c r="L125" s="119"/>
      <c r="M125" s="54"/>
      <c r="N125" s="54"/>
      <c r="O125" s="54"/>
      <c r="P125" s="119"/>
      <c r="Q125" s="54"/>
      <c r="R125" s="180"/>
    </row>
    <row r="126" spans="1:18" s="38" customFormat="1" x14ac:dyDescent="0.2">
      <c r="A126" s="25"/>
      <c r="B126" s="205" t="s">
        <v>146</v>
      </c>
      <c r="C126" s="64"/>
      <c r="D126" s="64"/>
      <c r="E126" s="64"/>
      <c r="F126" s="64"/>
      <c r="G126" s="54"/>
      <c r="H126" s="119"/>
      <c r="I126" s="54"/>
      <c r="J126" s="54"/>
      <c r="K126" s="54"/>
      <c r="L126" s="119"/>
      <c r="M126" s="54"/>
      <c r="N126" s="54"/>
      <c r="O126" s="54"/>
      <c r="P126" s="119"/>
      <c r="Q126" s="54"/>
      <c r="R126" s="180"/>
    </row>
    <row r="127" spans="1:18" s="38" customFormat="1" x14ac:dyDescent="0.2">
      <c r="A127" s="25"/>
      <c r="B127" s="205" t="s">
        <v>147</v>
      </c>
      <c r="C127" s="64"/>
      <c r="D127" s="64"/>
      <c r="E127" s="64"/>
      <c r="F127" s="64"/>
      <c r="G127" s="54"/>
      <c r="H127" s="119"/>
      <c r="I127" s="54"/>
      <c r="J127" s="54"/>
      <c r="K127" s="54"/>
      <c r="L127" s="119"/>
      <c r="M127" s="54"/>
      <c r="N127" s="54"/>
      <c r="O127" s="54"/>
      <c r="P127" s="119"/>
      <c r="Q127" s="54"/>
      <c r="R127" s="180"/>
    </row>
    <row r="128" spans="1:18" s="38" customFormat="1" x14ac:dyDescent="0.2">
      <c r="A128" s="25"/>
      <c r="B128" s="205" t="s">
        <v>148</v>
      </c>
      <c r="C128" s="64"/>
      <c r="D128" s="64"/>
      <c r="E128" s="64"/>
      <c r="F128" s="64"/>
      <c r="G128" s="54"/>
      <c r="H128" s="119"/>
      <c r="I128" s="54"/>
      <c r="J128" s="54"/>
      <c r="K128" s="54"/>
      <c r="L128" s="119"/>
      <c r="M128" s="54"/>
      <c r="N128" s="54"/>
      <c r="O128" s="54"/>
      <c r="P128" s="119"/>
      <c r="Q128" s="54"/>
      <c r="R128" s="180"/>
    </row>
    <row r="129" spans="1:18" s="53" customFormat="1" ht="25.9" customHeight="1" x14ac:dyDescent="0.2">
      <c r="A129" s="25"/>
      <c r="B129" s="205" t="s">
        <v>149</v>
      </c>
      <c r="C129" s="64">
        <f t="shared" si="46"/>
        <v>0</v>
      </c>
      <c r="D129" s="64">
        <f t="shared" si="43"/>
        <v>0</v>
      </c>
      <c r="E129" s="64">
        <f t="shared" si="44"/>
        <v>0</v>
      </c>
      <c r="F129" s="64">
        <f t="shared" si="45"/>
        <v>0</v>
      </c>
      <c r="G129" s="54"/>
      <c r="H129" s="119"/>
      <c r="I129" s="54"/>
      <c r="J129" s="54"/>
      <c r="K129" s="54"/>
      <c r="L129" s="119"/>
      <c r="M129" s="54"/>
      <c r="N129" s="54"/>
      <c r="O129" s="54"/>
      <c r="P129" s="119"/>
      <c r="Q129" s="54"/>
      <c r="R129" s="180"/>
    </row>
    <row r="130" spans="1:18" s="38" customFormat="1" x14ac:dyDescent="0.2">
      <c r="A130" s="25"/>
      <c r="B130" s="205" t="s">
        <v>150</v>
      </c>
      <c r="C130" s="64">
        <f t="shared" si="46"/>
        <v>0</v>
      </c>
      <c r="D130" s="64">
        <f t="shared" si="43"/>
        <v>0</v>
      </c>
      <c r="E130" s="64">
        <f t="shared" si="44"/>
        <v>0</v>
      </c>
      <c r="F130" s="64">
        <f t="shared" si="45"/>
        <v>0</v>
      </c>
      <c r="G130" s="54"/>
      <c r="H130" s="119"/>
      <c r="I130" s="54"/>
      <c r="J130" s="54"/>
      <c r="K130" s="54"/>
      <c r="L130" s="119"/>
      <c r="M130" s="54"/>
      <c r="N130" s="54"/>
      <c r="O130" s="54"/>
      <c r="P130" s="119"/>
      <c r="Q130" s="54"/>
      <c r="R130" s="180"/>
    </row>
    <row r="131" spans="1:18" s="38" customFormat="1" x14ac:dyDescent="0.2">
      <c r="A131" s="25"/>
      <c r="B131" s="205" t="s">
        <v>151</v>
      </c>
      <c r="C131" s="64">
        <f t="shared" si="46"/>
        <v>0</v>
      </c>
      <c r="D131" s="64">
        <f t="shared" si="43"/>
        <v>0</v>
      </c>
      <c r="E131" s="64">
        <f t="shared" si="44"/>
        <v>0</v>
      </c>
      <c r="F131" s="64">
        <f t="shared" si="45"/>
        <v>0</v>
      </c>
      <c r="G131" s="54"/>
      <c r="H131" s="119"/>
      <c r="I131" s="54"/>
      <c r="J131" s="54"/>
      <c r="K131" s="54"/>
      <c r="L131" s="119"/>
      <c r="M131" s="54"/>
      <c r="N131" s="54"/>
      <c r="O131" s="54"/>
      <c r="P131" s="119"/>
      <c r="Q131" s="54"/>
      <c r="R131" s="180"/>
    </row>
    <row r="132" spans="1:18" s="38" customFormat="1" ht="13.5" thickBot="1" x14ac:dyDescent="0.25">
      <c r="A132" s="181"/>
      <c r="B132" s="182" t="s">
        <v>152</v>
      </c>
      <c r="C132" s="239">
        <f t="shared" si="46"/>
        <v>9</v>
      </c>
      <c r="D132" s="239">
        <f t="shared" si="43"/>
        <v>540000</v>
      </c>
      <c r="E132" s="239">
        <f t="shared" si="44"/>
        <v>0</v>
      </c>
      <c r="F132" s="239">
        <f t="shared" si="45"/>
        <v>0</v>
      </c>
      <c r="G132" s="200">
        <v>4</v>
      </c>
      <c r="H132" s="184">
        <f>G132*60000</f>
        <v>240000</v>
      </c>
      <c r="I132" s="200"/>
      <c r="J132" s="200"/>
      <c r="K132" s="200">
        <v>2</v>
      </c>
      <c r="L132" s="184">
        <f>K132*60000</f>
        <v>120000</v>
      </c>
      <c r="M132" s="200"/>
      <c r="N132" s="200"/>
      <c r="O132" s="200">
        <v>3</v>
      </c>
      <c r="P132" s="184">
        <f>O132*60000</f>
        <v>180000</v>
      </c>
      <c r="Q132" s="200"/>
      <c r="R132" s="186"/>
    </row>
    <row r="133" spans="1:18" ht="13.5" thickBot="1" x14ac:dyDescent="0.25">
      <c r="A133" s="278"/>
      <c r="B133" s="233" t="s">
        <v>160</v>
      </c>
      <c r="C133" s="234">
        <f t="shared" ref="C133:R133" si="50">SUM(C94:C132)</f>
        <v>9</v>
      </c>
      <c r="D133" s="234">
        <f t="shared" si="50"/>
        <v>540000</v>
      </c>
      <c r="E133" s="234">
        <f t="shared" si="50"/>
        <v>0</v>
      </c>
      <c r="F133" s="234">
        <f t="shared" si="50"/>
        <v>0</v>
      </c>
      <c r="G133" s="234">
        <f t="shared" si="50"/>
        <v>4</v>
      </c>
      <c r="H133" s="234">
        <f t="shared" si="50"/>
        <v>240000</v>
      </c>
      <c r="I133" s="234">
        <f t="shared" si="50"/>
        <v>0</v>
      </c>
      <c r="J133" s="234">
        <f t="shared" si="50"/>
        <v>0</v>
      </c>
      <c r="K133" s="234">
        <f t="shared" si="50"/>
        <v>2</v>
      </c>
      <c r="L133" s="234">
        <f t="shared" si="50"/>
        <v>120000</v>
      </c>
      <c r="M133" s="234">
        <f t="shared" si="50"/>
        <v>0</v>
      </c>
      <c r="N133" s="234">
        <f t="shared" si="50"/>
        <v>0</v>
      </c>
      <c r="O133" s="234">
        <f t="shared" si="50"/>
        <v>3</v>
      </c>
      <c r="P133" s="234">
        <f t="shared" si="50"/>
        <v>180000</v>
      </c>
      <c r="Q133" s="234">
        <f t="shared" si="50"/>
        <v>0</v>
      </c>
      <c r="R133" s="234">
        <f t="shared" si="50"/>
        <v>0</v>
      </c>
    </row>
    <row r="134" spans="1:18" s="38" customFormat="1" x14ac:dyDescent="0.2">
      <c r="A134" s="210" t="s">
        <v>11</v>
      </c>
      <c r="B134" s="211" t="s">
        <v>153</v>
      </c>
      <c r="C134" s="213"/>
      <c r="D134" s="213"/>
      <c r="E134" s="213"/>
      <c r="F134" s="213"/>
      <c r="G134" s="213"/>
      <c r="H134" s="178"/>
      <c r="I134" s="213"/>
      <c r="J134" s="213"/>
      <c r="K134" s="213"/>
      <c r="L134" s="178"/>
      <c r="M134" s="213"/>
      <c r="N134" s="213"/>
      <c r="O134" s="213"/>
      <c r="P134" s="178"/>
      <c r="Q134" s="213"/>
      <c r="R134" s="214"/>
    </row>
    <row r="135" spans="1:18" s="38" customFormat="1" ht="25.5" x14ac:dyDescent="0.25">
      <c r="A135" s="25"/>
      <c r="B135" s="205" t="s">
        <v>163</v>
      </c>
      <c r="C135" s="64">
        <f t="shared" ref="C135:F135" si="51">G135+K135+O135</f>
        <v>7</v>
      </c>
      <c r="D135" s="64">
        <f t="shared" si="51"/>
        <v>413000</v>
      </c>
      <c r="E135" s="64">
        <f t="shared" si="51"/>
        <v>0</v>
      </c>
      <c r="F135" s="64">
        <f t="shared" si="51"/>
        <v>0</v>
      </c>
      <c r="G135" s="47">
        <v>1</v>
      </c>
      <c r="H135" s="119">
        <v>110000</v>
      </c>
      <c r="I135" s="54"/>
      <c r="J135" s="54"/>
      <c r="K135" s="54">
        <v>1</v>
      </c>
      <c r="L135" s="119">
        <v>25000</v>
      </c>
      <c r="M135" s="54"/>
      <c r="N135" s="54"/>
      <c r="O135" s="54">
        <v>5</v>
      </c>
      <c r="P135" s="119">
        <v>278000</v>
      </c>
      <c r="Q135" s="54"/>
      <c r="R135" s="180"/>
    </row>
    <row r="136" spans="1:18" s="38" customFormat="1" ht="15" x14ac:dyDescent="0.25">
      <c r="A136" s="25"/>
      <c r="B136" s="205" t="s">
        <v>164</v>
      </c>
      <c r="C136" s="64">
        <f t="shared" ref="C136:C165" si="52">G136+K136+O136</f>
        <v>0</v>
      </c>
      <c r="D136" s="64">
        <f t="shared" ref="D136:D165" si="53">H136+L136+P136</f>
        <v>0</v>
      </c>
      <c r="E136" s="64">
        <f t="shared" ref="E136:E165" si="54">I136+M136+Q136</f>
        <v>0</v>
      </c>
      <c r="F136" s="64">
        <f t="shared" ref="F136:F165" si="55">J136+N136+R136</f>
        <v>0</v>
      </c>
      <c r="G136" s="47"/>
      <c r="H136" s="119"/>
      <c r="I136" s="54"/>
      <c r="J136" s="54"/>
      <c r="K136" s="54"/>
      <c r="L136" s="119"/>
      <c r="M136" s="54"/>
      <c r="N136" s="54"/>
      <c r="O136" s="54"/>
      <c r="P136" s="119"/>
      <c r="Q136" s="54"/>
      <c r="R136" s="180"/>
    </row>
    <row r="137" spans="1:18" s="38" customFormat="1" x14ac:dyDescent="0.2">
      <c r="A137" s="25"/>
      <c r="B137" s="205" t="s">
        <v>165</v>
      </c>
      <c r="C137" s="64">
        <f t="shared" si="52"/>
        <v>0</v>
      </c>
      <c r="D137" s="64">
        <f t="shared" si="53"/>
        <v>0</v>
      </c>
      <c r="E137" s="64">
        <f t="shared" si="54"/>
        <v>0</v>
      </c>
      <c r="F137" s="64">
        <f t="shared" si="55"/>
        <v>0</v>
      </c>
      <c r="G137" s="54"/>
      <c r="H137" s="119"/>
      <c r="I137" s="54"/>
      <c r="J137" s="54"/>
      <c r="K137" s="54"/>
      <c r="L137" s="119"/>
      <c r="M137" s="54"/>
      <c r="N137" s="54"/>
      <c r="O137" s="54"/>
      <c r="P137" s="119"/>
      <c r="Q137" s="54"/>
      <c r="R137" s="180"/>
    </row>
    <row r="138" spans="1:18" s="38" customFormat="1" ht="25.5" x14ac:dyDescent="0.25">
      <c r="A138" s="25"/>
      <c r="B138" s="205" t="s">
        <v>166</v>
      </c>
      <c r="C138" s="64">
        <f t="shared" si="52"/>
        <v>50</v>
      </c>
      <c r="D138" s="64">
        <f t="shared" si="53"/>
        <v>374000</v>
      </c>
      <c r="E138" s="64">
        <f t="shared" si="54"/>
        <v>0</v>
      </c>
      <c r="F138" s="64">
        <f t="shared" si="55"/>
        <v>0</v>
      </c>
      <c r="G138" s="54">
        <v>11</v>
      </c>
      <c r="H138" s="119">
        <v>93000</v>
      </c>
      <c r="I138" s="54"/>
      <c r="J138" s="54"/>
      <c r="K138" s="47">
        <v>30</v>
      </c>
      <c r="L138" s="119">
        <v>25000</v>
      </c>
      <c r="M138" s="54"/>
      <c r="N138" s="54"/>
      <c r="O138" s="47">
        <v>9</v>
      </c>
      <c r="P138" s="119">
        <v>256000</v>
      </c>
      <c r="Q138" s="54"/>
      <c r="R138" s="180"/>
    </row>
    <row r="139" spans="1:18" s="38" customFormat="1" ht="25.5" x14ac:dyDescent="0.2">
      <c r="A139" s="25"/>
      <c r="B139" s="205" t="s">
        <v>167</v>
      </c>
      <c r="C139" s="64">
        <f t="shared" si="52"/>
        <v>0</v>
      </c>
      <c r="D139" s="64">
        <f t="shared" si="53"/>
        <v>0</v>
      </c>
      <c r="E139" s="64">
        <f t="shared" si="54"/>
        <v>0</v>
      </c>
      <c r="F139" s="64">
        <f t="shared" si="55"/>
        <v>0</v>
      </c>
      <c r="G139" s="54"/>
      <c r="H139" s="119"/>
      <c r="I139" s="54"/>
      <c r="J139" s="54"/>
      <c r="K139" s="54"/>
      <c r="L139" s="119"/>
      <c r="M139" s="54"/>
      <c r="N139" s="54"/>
      <c r="O139" s="54"/>
      <c r="P139" s="119"/>
      <c r="Q139" s="54"/>
      <c r="R139" s="180"/>
    </row>
    <row r="140" spans="1:18" s="38" customFormat="1" x14ac:dyDescent="0.2">
      <c r="A140" s="25"/>
      <c r="B140" s="40" t="s">
        <v>168</v>
      </c>
      <c r="C140" s="64">
        <f t="shared" si="52"/>
        <v>0</v>
      </c>
      <c r="D140" s="64">
        <f t="shared" si="53"/>
        <v>0</v>
      </c>
      <c r="E140" s="64">
        <f t="shared" si="54"/>
        <v>0</v>
      </c>
      <c r="F140" s="64">
        <f t="shared" si="55"/>
        <v>0</v>
      </c>
      <c r="G140" s="54"/>
      <c r="H140" s="119"/>
      <c r="I140" s="54"/>
      <c r="J140" s="54"/>
      <c r="K140" s="54"/>
      <c r="L140" s="119"/>
      <c r="M140" s="54"/>
      <c r="N140" s="54"/>
      <c r="O140" s="54"/>
      <c r="P140" s="119"/>
      <c r="Q140" s="54"/>
      <c r="R140" s="180"/>
    </row>
    <row r="141" spans="1:18" s="38" customFormat="1" ht="15" x14ac:dyDescent="0.25">
      <c r="A141" s="25"/>
      <c r="B141" s="40" t="s">
        <v>169</v>
      </c>
      <c r="C141" s="64">
        <f t="shared" si="52"/>
        <v>2</v>
      </c>
      <c r="D141" s="64">
        <f t="shared" si="53"/>
        <v>230000</v>
      </c>
      <c r="E141" s="64">
        <f t="shared" si="54"/>
        <v>0</v>
      </c>
      <c r="F141" s="64">
        <f t="shared" si="55"/>
        <v>0</v>
      </c>
      <c r="G141" s="47">
        <v>1</v>
      </c>
      <c r="H141" s="119">
        <v>115000</v>
      </c>
      <c r="I141" s="54"/>
      <c r="J141" s="54"/>
      <c r="K141" s="54"/>
      <c r="L141" s="119"/>
      <c r="M141" s="54"/>
      <c r="N141" s="54"/>
      <c r="O141" s="47">
        <v>1</v>
      </c>
      <c r="P141" s="119">
        <v>115000</v>
      </c>
      <c r="Q141" s="54"/>
      <c r="R141" s="180"/>
    </row>
    <row r="142" spans="1:18" s="38" customFormat="1" x14ac:dyDescent="0.2">
      <c r="A142" s="25"/>
      <c r="B142" s="40" t="s">
        <v>170</v>
      </c>
      <c r="C142" s="64">
        <f t="shared" si="52"/>
        <v>0</v>
      </c>
      <c r="D142" s="64">
        <f t="shared" si="53"/>
        <v>0</v>
      </c>
      <c r="E142" s="64">
        <f t="shared" si="54"/>
        <v>0</v>
      </c>
      <c r="F142" s="64">
        <f t="shared" si="55"/>
        <v>0</v>
      </c>
      <c r="G142" s="54"/>
      <c r="H142" s="119"/>
      <c r="I142" s="54"/>
      <c r="J142" s="54"/>
      <c r="K142" s="54"/>
      <c r="L142" s="119"/>
      <c r="M142" s="54"/>
      <c r="N142" s="54"/>
      <c r="O142" s="54"/>
      <c r="P142" s="119"/>
      <c r="Q142" s="54"/>
      <c r="R142" s="180"/>
    </row>
    <row r="143" spans="1:18" s="38" customFormat="1" x14ac:dyDescent="0.2">
      <c r="A143" s="25"/>
      <c r="B143" s="40" t="s">
        <v>277</v>
      </c>
      <c r="C143" s="64"/>
      <c r="D143" s="64"/>
      <c r="E143" s="64"/>
      <c r="F143" s="64"/>
      <c r="G143" s="54"/>
      <c r="H143" s="119"/>
      <c r="I143" s="54"/>
      <c r="J143" s="54"/>
      <c r="K143" s="54"/>
      <c r="L143" s="119"/>
      <c r="M143" s="54"/>
      <c r="N143" s="54"/>
      <c r="O143" s="54"/>
      <c r="P143" s="119"/>
      <c r="Q143" s="54"/>
      <c r="R143" s="180"/>
    </row>
    <row r="144" spans="1:18" s="38" customFormat="1" x14ac:dyDescent="0.2">
      <c r="A144" s="25"/>
      <c r="B144" s="40" t="s">
        <v>278</v>
      </c>
      <c r="C144" s="64"/>
      <c r="D144" s="64"/>
      <c r="E144" s="64"/>
      <c r="F144" s="64"/>
      <c r="G144" s="54"/>
      <c r="H144" s="119"/>
      <c r="I144" s="54"/>
      <c r="J144" s="54"/>
      <c r="K144" s="54"/>
      <c r="L144" s="119"/>
      <c r="M144" s="54"/>
      <c r="N144" s="54"/>
      <c r="O144" s="54"/>
      <c r="P144" s="119"/>
      <c r="Q144" s="54"/>
      <c r="R144" s="180"/>
    </row>
    <row r="145" spans="1:18" s="38" customFormat="1" x14ac:dyDescent="0.2">
      <c r="A145" s="25"/>
      <c r="B145" s="40" t="s">
        <v>171</v>
      </c>
      <c r="C145" s="64">
        <f t="shared" si="52"/>
        <v>0</v>
      </c>
      <c r="D145" s="64">
        <f t="shared" si="53"/>
        <v>0</v>
      </c>
      <c r="E145" s="64">
        <f t="shared" si="54"/>
        <v>0</v>
      </c>
      <c r="F145" s="64">
        <f t="shared" si="55"/>
        <v>0</v>
      </c>
      <c r="G145" s="54"/>
      <c r="H145" s="119"/>
      <c r="I145" s="54"/>
      <c r="J145" s="54"/>
      <c r="K145" s="54"/>
      <c r="L145" s="119"/>
      <c r="M145" s="54"/>
      <c r="N145" s="54"/>
      <c r="O145" s="54"/>
      <c r="P145" s="119"/>
      <c r="Q145" s="54"/>
      <c r="R145" s="180"/>
    </row>
    <row r="146" spans="1:18" s="38" customFormat="1" ht="15" x14ac:dyDescent="0.25">
      <c r="A146" s="25"/>
      <c r="B146" s="24" t="s">
        <v>172</v>
      </c>
      <c r="C146" s="64">
        <f t="shared" si="52"/>
        <v>0</v>
      </c>
      <c r="D146" s="64">
        <f t="shared" si="53"/>
        <v>0</v>
      </c>
      <c r="E146" s="64">
        <f t="shared" si="54"/>
        <v>0</v>
      </c>
      <c r="F146" s="64">
        <f t="shared" si="55"/>
        <v>0</v>
      </c>
      <c r="G146" s="54"/>
      <c r="H146" s="119"/>
      <c r="I146" s="54"/>
      <c r="J146" s="54"/>
      <c r="K146" s="47"/>
      <c r="L146" s="119"/>
      <c r="M146" s="54"/>
      <c r="N146" s="54"/>
      <c r="O146" s="54"/>
      <c r="P146" s="119"/>
      <c r="Q146" s="54"/>
      <c r="R146" s="180"/>
    </row>
    <row r="147" spans="1:18" s="38" customFormat="1" x14ac:dyDescent="0.2">
      <c r="A147" s="25"/>
      <c r="B147" s="40" t="s">
        <v>173</v>
      </c>
      <c r="C147" s="64">
        <f t="shared" si="52"/>
        <v>0</v>
      </c>
      <c r="D147" s="64">
        <f t="shared" si="53"/>
        <v>0</v>
      </c>
      <c r="E147" s="64">
        <f t="shared" si="54"/>
        <v>0</v>
      </c>
      <c r="F147" s="64">
        <f t="shared" si="55"/>
        <v>0</v>
      </c>
      <c r="G147" s="54"/>
      <c r="H147" s="119"/>
      <c r="I147" s="54"/>
      <c r="J147" s="54"/>
      <c r="K147" s="54"/>
      <c r="L147" s="119"/>
      <c r="M147" s="54"/>
      <c r="N147" s="54"/>
      <c r="O147" s="54"/>
      <c r="P147" s="119"/>
      <c r="Q147" s="54"/>
      <c r="R147" s="180"/>
    </row>
    <row r="148" spans="1:18" s="38" customFormat="1" ht="15" x14ac:dyDescent="0.25">
      <c r="A148" s="25"/>
      <c r="B148" s="40" t="s">
        <v>174</v>
      </c>
      <c r="C148" s="64">
        <f t="shared" si="52"/>
        <v>1</v>
      </c>
      <c r="D148" s="64">
        <f t="shared" si="53"/>
        <v>15000</v>
      </c>
      <c r="E148" s="64">
        <f t="shared" si="54"/>
        <v>0</v>
      </c>
      <c r="F148" s="64">
        <f t="shared" si="55"/>
        <v>0</v>
      </c>
      <c r="G148" s="54">
        <v>1</v>
      </c>
      <c r="H148" s="119">
        <v>15000</v>
      </c>
      <c r="I148" s="54"/>
      <c r="J148" s="54"/>
      <c r="K148" s="47"/>
      <c r="L148" s="119"/>
      <c r="M148" s="54"/>
      <c r="N148" s="54"/>
      <c r="O148" s="54"/>
      <c r="P148" s="119"/>
      <c r="Q148" s="54"/>
      <c r="R148" s="180"/>
    </row>
    <row r="149" spans="1:18" s="38" customFormat="1" ht="15" x14ac:dyDescent="0.25">
      <c r="A149" s="25"/>
      <c r="B149" s="40" t="s">
        <v>175</v>
      </c>
      <c r="C149" s="64">
        <f t="shared" ref="C149:F151" si="56">G149+K149+O149</f>
        <v>3</v>
      </c>
      <c r="D149" s="64">
        <f t="shared" si="56"/>
        <v>210000</v>
      </c>
      <c r="E149" s="64">
        <f t="shared" si="56"/>
        <v>0</v>
      </c>
      <c r="F149" s="64">
        <f t="shared" si="56"/>
        <v>0</v>
      </c>
      <c r="G149" s="54">
        <v>1</v>
      </c>
      <c r="H149" s="119">
        <v>70000</v>
      </c>
      <c r="I149" s="54"/>
      <c r="J149" s="54"/>
      <c r="K149" s="54">
        <v>1</v>
      </c>
      <c r="L149" s="119">
        <v>70000</v>
      </c>
      <c r="M149" s="54"/>
      <c r="N149" s="54"/>
      <c r="O149" s="47">
        <v>1</v>
      </c>
      <c r="P149" s="119">
        <v>70000</v>
      </c>
      <c r="Q149" s="54"/>
      <c r="R149" s="180"/>
    </row>
    <row r="150" spans="1:18" s="38" customFormat="1" ht="27.75" customHeight="1" x14ac:dyDescent="0.2">
      <c r="A150" s="25"/>
      <c r="B150" s="40" t="s">
        <v>176</v>
      </c>
      <c r="C150" s="64">
        <f t="shared" si="56"/>
        <v>0</v>
      </c>
      <c r="D150" s="64">
        <f t="shared" si="56"/>
        <v>0</v>
      </c>
      <c r="E150" s="64">
        <f t="shared" si="56"/>
        <v>0</v>
      </c>
      <c r="F150" s="64">
        <f t="shared" si="56"/>
        <v>0</v>
      </c>
      <c r="G150" s="54"/>
      <c r="H150" s="119"/>
      <c r="I150" s="54"/>
      <c r="J150" s="54"/>
      <c r="K150" s="54"/>
      <c r="L150" s="119"/>
      <c r="M150" s="54"/>
      <c r="N150" s="54"/>
      <c r="O150" s="54"/>
      <c r="P150" s="119"/>
      <c r="Q150" s="54"/>
      <c r="R150" s="180"/>
    </row>
    <row r="151" spans="1:18" s="38" customFormat="1" x14ac:dyDescent="0.2">
      <c r="A151" s="25"/>
      <c r="B151" s="321" t="s">
        <v>177</v>
      </c>
      <c r="C151" s="64">
        <f t="shared" si="56"/>
        <v>100</v>
      </c>
      <c r="D151" s="64">
        <f t="shared" si="56"/>
        <v>25000</v>
      </c>
      <c r="E151" s="64">
        <f t="shared" si="56"/>
        <v>0</v>
      </c>
      <c r="F151" s="64">
        <f t="shared" si="56"/>
        <v>0</v>
      </c>
      <c r="G151" s="54">
        <v>100</v>
      </c>
      <c r="H151" s="119">
        <v>25000</v>
      </c>
      <c r="I151" s="54"/>
      <c r="J151" s="54"/>
      <c r="K151" s="54"/>
      <c r="L151" s="119"/>
      <c r="M151" s="54"/>
      <c r="N151" s="54"/>
      <c r="O151" s="54"/>
      <c r="P151" s="119"/>
      <c r="Q151" s="54"/>
      <c r="R151" s="180"/>
    </row>
    <row r="152" spans="1:18" s="38" customFormat="1" ht="25.5" x14ac:dyDescent="0.2">
      <c r="A152" s="25"/>
      <c r="B152" s="144" t="s">
        <v>178</v>
      </c>
      <c r="C152" s="64"/>
      <c r="D152" s="64"/>
      <c r="E152" s="64"/>
      <c r="F152" s="64"/>
      <c r="G152" s="54"/>
      <c r="H152" s="119"/>
      <c r="I152" s="54"/>
      <c r="J152" s="54"/>
      <c r="K152" s="54"/>
      <c r="L152" s="119"/>
      <c r="M152" s="54"/>
      <c r="N152" s="54"/>
      <c r="O152" s="54"/>
      <c r="P152" s="119"/>
      <c r="Q152" s="54"/>
      <c r="R152" s="180"/>
    </row>
    <row r="153" spans="1:18" s="38" customFormat="1" x14ac:dyDescent="0.2">
      <c r="A153" s="25"/>
      <c r="B153" s="319" t="s">
        <v>179</v>
      </c>
      <c r="C153" s="64">
        <f t="shared" ref="C153:F154" si="57">G153+K153+O153</f>
        <v>1</v>
      </c>
      <c r="D153" s="64">
        <f t="shared" si="57"/>
        <v>8000</v>
      </c>
      <c r="E153" s="64">
        <f t="shared" si="57"/>
        <v>0</v>
      </c>
      <c r="F153" s="64">
        <f t="shared" si="57"/>
        <v>0</v>
      </c>
      <c r="G153" s="54">
        <v>1</v>
      </c>
      <c r="H153" s="119">
        <v>8000</v>
      </c>
      <c r="I153" s="54"/>
      <c r="J153" s="54"/>
      <c r="K153" s="54"/>
      <c r="L153" s="119"/>
      <c r="M153" s="54"/>
      <c r="N153" s="54"/>
      <c r="O153" s="54"/>
      <c r="P153" s="119"/>
      <c r="Q153" s="54"/>
      <c r="R153" s="180"/>
    </row>
    <row r="154" spans="1:18" s="38" customFormat="1" ht="25.5" x14ac:dyDescent="0.2">
      <c r="A154" s="25"/>
      <c r="B154" s="24" t="s">
        <v>180</v>
      </c>
      <c r="C154" s="64">
        <f t="shared" si="57"/>
        <v>0</v>
      </c>
      <c r="D154" s="64">
        <f t="shared" si="57"/>
        <v>0</v>
      </c>
      <c r="E154" s="64">
        <f t="shared" si="57"/>
        <v>0</v>
      </c>
      <c r="F154" s="64">
        <f t="shared" si="57"/>
        <v>0</v>
      </c>
      <c r="G154" s="54"/>
      <c r="H154" s="119"/>
      <c r="I154" s="54"/>
      <c r="J154" s="54"/>
      <c r="K154" s="54"/>
      <c r="L154" s="119"/>
      <c r="M154" s="54"/>
      <c r="N154" s="54"/>
      <c r="O154" s="54"/>
      <c r="P154" s="119"/>
      <c r="Q154" s="54"/>
      <c r="R154" s="180"/>
    </row>
    <row r="155" spans="1:18" s="38" customFormat="1" x14ac:dyDescent="0.2">
      <c r="A155" s="25"/>
      <c r="B155" s="24" t="s">
        <v>181</v>
      </c>
      <c r="C155" s="64"/>
      <c r="D155" s="64"/>
      <c r="E155" s="64"/>
      <c r="F155" s="64"/>
      <c r="G155" s="54"/>
      <c r="H155" s="119"/>
      <c r="I155" s="54"/>
      <c r="J155" s="54"/>
      <c r="K155" s="54"/>
      <c r="L155" s="119"/>
      <c r="M155" s="54"/>
      <c r="N155" s="54"/>
      <c r="O155" s="54"/>
      <c r="P155" s="119"/>
      <c r="Q155" s="54"/>
      <c r="R155" s="180"/>
    </row>
    <row r="156" spans="1:18" s="38" customFormat="1" ht="25.5" x14ac:dyDescent="0.2">
      <c r="A156" s="25"/>
      <c r="B156" s="24" t="s">
        <v>182</v>
      </c>
      <c r="C156" s="64">
        <f>G156+K156+O156</f>
        <v>0</v>
      </c>
      <c r="D156" s="64">
        <f>H156+L156+P156</f>
        <v>0</v>
      </c>
      <c r="E156" s="64">
        <f>I156+M156+Q156</f>
        <v>0</v>
      </c>
      <c r="F156" s="64">
        <f>J156+N156+R156</f>
        <v>0</v>
      </c>
      <c r="G156" s="54"/>
      <c r="H156" s="119"/>
      <c r="I156" s="54"/>
      <c r="J156" s="54"/>
      <c r="K156" s="54"/>
      <c r="L156" s="119"/>
      <c r="M156" s="54"/>
      <c r="N156" s="54"/>
      <c r="O156" s="54"/>
      <c r="P156" s="119"/>
      <c r="Q156" s="54"/>
      <c r="R156" s="180"/>
    </row>
    <row r="157" spans="1:18" s="38" customFormat="1" x14ac:dyDescent="0.2">
      <c r="A157" s="25"/>
      <c r="B157" s="24" t="s">
        <v>183</v>
      </c>
      <c r="C157" s="64">
        <f t="shared" ref="C157:C162" si="58">G157+K157+O157</f>
        <v>0</v>
      </c>
      <c r="D157" s="64">
        <f t="shared" ref="D157:F162" si="59">H157+L157+P157</f>
        <v>0</v>
      </c>
      <c r="E157" s="64">
        <f t="shared" si="59"/>
        <v>0</v>
      </c>
      <c r="F157" s="64">
        <f t="shared" si="59"/>
        <v>0</v>
      </c>
      <c r="G157" s="54"/>
      <c r="H157" s="119"/>
      <c r="I157" s="54"/>
      <c r="J157" s="54"/>
      <c r="K157" s="54"/>
      <c r="L157" s="119"/>
      <c r="M157" s="54"/>
      <c r="N157" s="54"/>
      <c r="O157" s="54"/>
      <c r="P157" s="119"/>
      <c r="Q157" s="54"/>
      <c r="R157" s="180"/>
    </row>
    <row r="158" spans="1:18" s="38" customFormat="1" ht="25.5" x14ac:dyDescent="0.2">
      <c r="A158" s="25"/>
      <c r="B158" s="24" t="s">
        <v>184</v>
      </c>
      <c r="C158" s="64">
        <f t="shared" si="58"/>
        <v>0</v>
      </c>
      <c r="D158" s="64">
        <f t="shared" si="59"/>
        <v>0</v>
      </c>
      <c r="E158" s="64">
        <f t="shared" si="59"/>
        <v>0</v>
      </c>
      <c r="F158" s="64">
        <f t="shared" si="59"/>
        <v>0</v>
      </c>
      <c r="G158" s="54"/>
      <c r="H158" s="119"/>
      <c r="I158" s="54"/>
      <c r="J158" s="54"/>
      <c r="K158" s="54"/>
      <c r="L158" s="119"/>
      <c r="M158" s="54"/>
      <c r="N158" s="54"/>
      <c r="O158" s="54"/>
      <c r="P158" s="119"/>
      <c r="Q158" s="54"/>
      <c r="R158" s="180"/>
    </row>
    <row r="159" spans="1:18" s="38" customFormat="1" ht="38.25" x14ac:dyDescent="0.2">
      <c r="A159" s="25"/>
      <c r="B159" s="24" t="s">
        <v>185</v>
      </c>
      <c r="C159" s="64">
        <f t="shared" si="58"/>
        <v>0</v>
      </c>
      <c r="D159" s="64">
        <f t="shared" si="59"/>
        <v>0</v>
      </c>
      <c r="E159" s="64">
        <f t="shared" si="59"/>
        <v>0</v>
      </c>
      <c r="F159" s="64">
        <f t="shared" si="59"/>
        <v>0</v>
      </c>
      <c r="G159" s="54"/>
      <c r="H159" s="119"/>
      <c r="I159" s="54"/>
      <c r="J159" s="54"/>
      <c r="K159" s="54"/>
      <c r="L159" s="119"/>
      <c r="M159" s="54"/>
      <c r="N159" s="54"/>
      <c r="O159" s="54"/>
      <c r="P159" s="119"/>
      <c r="Q159" s="54"/>
      <c r="R159" s="180"/>
    </row>
    <row r="160" spans="1:18" s="38" customFormat="1" x14ac:dyDescent="0.2">
      <c r="A160" s="25"/>
      <c r="B160" s="319" t="s">
        <v>186</v>
      </c>
      <c r="C160" s="64">
        <f t="shared" si="58"/>
        <v>0</v>
      </c>
      <c r="D160" s="64">
        <f t="shared" si="59"/>
        <v>0</v>
      </c>
      <c r="E160" s="64">
        <f t="shared" si="59"/>
        <v>0</v>
      </c>
      <c r="F160" s="64">
        <f t="shared" si="59"/>
        <v>0</v>
      </c>
      <c r="G160" s="54"/>
      <c r="H160" s="119"/>
      <c r="I160" s="54"/>
      <c r="J160" s="54"/>
      <c r="K160" s="54"/>
      <c r="L160" s="119"/>
      <c r="M160" s="54"/>
      <c r="N160" s="54"/>
      <c r="O160" s="54"/>
      <c r="P160" s="119"/>
      <c r="Q160" s="54"/>
      <c r="R160" s="180"/>
    </row>
    <row r="161" spans="1:18" s="38" customFormat="1" ht="25.5" x14ac:dyDescent="0.2">
      <c r="A161" s="25"/>
      <c r="B161" s="24" t="s">
        <v>187</v>
      </c>
      <c r="C161" s="64">
        <f t="shared" si="58"/>
        <v>0</v>
      </c>
      <c r="D161" s="64">
        <f t="shared" si="59"/>
        <v>0</v>
      </c>
      <c r="E161" s="64">
        <f t="shared" si="59"/>
        <v>0</v>
      </c>
      <c r="F161" s="64">
        <f t="shared" si="59"/>
        <v>0</v>
      </c>
      <c r="G161" s="54"/>
      <c r="H161" s="119"/>
      <c r="I161" s="54"/>
      <c r="J161" s="54"/>
      <c r="K161" s="54"/>
      <c r="L161" s="119"/>
      <c r="M161" s="54"/>
      <c r="N161" s="54"/>
      <c r="O161" s="54"/>
      <c r="P161" s="119"/>
      <c r="Q161" s="54"/>
      <c r="R161" s="180"/>
    </row>
    <row r="162" spans="1:18" s="38" customFormat="1" ht="25.5" x14ac:dyDescent="0.2">
      <c r="A162" s="25"/>
      <c r="B162" s="24" t="s">
        <v>188</v>
      </c>
      <c r="C162" s="64">
        <f t="shared" si="58"/>
        <v>0</v>
      </c>
      <c r="D162" s="64">
        <f t="shared" si="59"/>
        <v>0</v>
      </c>
      <c r="E162" s="64">
        <f t="shared" si="59"/>
        <v>0</v>
      </c>
      <c r="F162" s="64">
        <f t="shared" si="59"/>
        <v>0</v>
      </c>
      <c r="G162" s="54"/>
      <c r="H162" s="119"/>
      <c r="I162" s="54"/>
      <c r="J162" s="54"/>
      <c r="K162" s="54"/>
      <c r="L162" s="119"/>
      <c r="M162" s="54"/>
      <c r="N162" s="54"/>
      <c r="O162" s="54"/>
      <c r="P162" s="119"/>
      <c r="Q162" s="54"/>
      <c r="R162" s="180"/>
    </row>
    <row r="163" spans="1:18" s="38" customFormat="1" x14ac:dyDescent="0.2">
      <c r="A163" s="25"/>
      <c r="B163" s="24" t="s">
        <v>189</v>
      </c>
      <c r="C163" s="64"/>
      <c r="D163" s="64"/>
      <c r="E163" s="64"/>
      <c r="F163" s="64"/>
      <c r="G163" s="54"/>
      <c r="H163" s="119"/>
      <c r="I163" s="54"/>
      <c r="J163" s="54"/>
      <c r="K163" s="54"/>
      <c r="L163" s="119"/>
      <c r="M163" s="54"/>
      <c r="N163" s="54"/>
      <c r="O163" s="54"/>
      <c r="P163" s="119"/>
      <c r="Q163" s="54"/>
      <c r="R163" s="180"/>
    </row>
    <row r="164" spans="1:18" s="38" customFormat="1" x14ac:dyDescent="0.2">
      <c r="A164" s="25"/>
      <c r="B164" s="40" t="s">
        <v>190</v>
      </c>
      <c r="C164" s="64">
        <f t="shared" si="52"/>
        <v>0</v>
      </c>
      <c r="D164" s="64">
        <f t="shared" si="53"/>
        <v>0</v>
      </c>
      <c r="E164" s="64">
        <f t="shared" si="54"/>
        <v>0</v>
      </c>
      <c r="F164" s="64">
        <f t="shared" si="55"/>
        <v>0</v>
      </c>
      <c r="G164" s="54"/>
      <c r="H164" s="119"/>
      <c r="I164" s="54"/>
      <c r="J164" s="54"/>
      <c r="K164" s="54"/>
      <c r="L164" s="119"/>
      <c r="M164" s="54"/>
      <c r="N164" s="54"/>
      <c r="O164" s="54"/>
      <c r="P164" s="119"/>
      <c r="Q164" s="54"/>
      <c r="R164" s="180"/>
    </row>
    <row r="165" spans="1:18" s="38" customFormat="1" x14ac:dyDescent="0.2">
      <c r="A165" s="25"/>
      <c r="B165" s="24" t="s">
        <v>191</v>
      </c>
      <c r="C165" s="64">
        <f t="shared" si="52"/>
        <v>5</v>
      </c>
      <c r="D165" s="64">
        <f t="shared" si="53"/>
        <v>59000</v>
      </c>
      <c r="E165" s="64">
        <f t="shared" si="54"/>
        <v>0</v>
      </c>
      <c r="F165" s="64">
        <f t="shared" si="55"/>
        <v>0</v>
      </c>
      <c r="G165" s="54">
        <v>4</v>
      </c>
      <c r="H165" s="119">
        <v>34000</v>
      </c>
      <c r="I165" s="54"/>
      <c r="J165" s="54"/>
      <c r="K165" s="54"/>
      <c r="L165" s="119"/>
      <c r="M165" s="54"/>
      <c r="N165" s="54"/>
      <c r="O165" s="54">
        <v>1</v>
      </c>
      <c r="P165" s="119">
        <v>25000</v>
      </c>
      <c r="Q165" s="54"/>
      <c r="R165" s="180"/>
    </row>
    <row r="166" spans="1:18" ht="13.5" thickBot="1" x14ac:dyDescent="0.25">
      <c r="A166" s="95"/>
      <c r="B166" s="96" t="s">
        <v>161</v>
      </c>
      <c r="C166" s="137">
        <f t="shared" ref="C166:R166" si="60">SUM(C135:C165)</f>
        <v>169</v>
      </c>
      <c r="D166" s="137">
        <f t="shared" si="60"/>
        <v>1334000</v>
      </c>
      <c r="E166" s="137">
        <f t="shared" si="60"/>
        <v>0</v>
      </c>
      <c r="F166" s="137">
        <f t="shared" si="60"/>
        <v>0</v>
      </c>
      <c r="G166" s="137">
        <f t="shared" si="60"/>
        <v>120</v>
      </c>
      <c r="H166" s="137">
        <f t="shared" si="60"/>
        <v>470000</v>
      </c>
      <c r="I166" s="137">
        <f t="shared" si="60"/>
        <v>0</v>
      </c>
      <c r="J166" s="137">
        <f t="shared" si="60"/>
        <v>0</v>
      </c>
      <c r="K166" s="137">
        <f t="shared" si="60"/>
        <v>32</v>
      </c>
      <c r="L166" s="137">
        <f t="shared" si="60"/>
        <v>120000</v>
      </c>
      <c r="M166" s="137">
        <f t="shared" si="60"/>
        <v>0</v>
      </c>
      <c r="N166" s="137">
        <f t="shared" si="60"/>
        <v>0</v>
      </c>
      <c r="O166" s="137">
        <f t="shared" si="60"/>
        <v>17</v>
      </c>
      <c r="P166" s="137">
        <f t="shared" si="60"/>
        <v>744000</v>
      </c>
      <c r="Q166" s="137">
        <f t="shared" si="60"/>
        <v>0</v>
      </c>
      <c r="R166" s="137">
        <f t="shared" si="60"/>
        <v>0</v>
      </c>
    </row>
    <row r="167" spans="1:18" s="38" customFormat="1" ht="13.5" thickBot="1" x14ac:dyDescent="0.25">
      <c r="A167" s="25"/>
      <c r="B167" s="24"/>
      <c r="C167" s="109"/>
      <c r="D167" s="21"/>
      <c r="E167" s="109"/>
      <c r="F167" s="109"/>
      <c r="G167" s="109"/>
      <c r="H167" s="21"/>
      <c r="I167" s="109"/>
      <c r="J167" s="109"/>
      <c r="K167" s="109"/>
      <c r="L167" s="21"/>
      <c r="M167" s="109"/>
      <c r="N167" s="109"/>
      <c r="O167" s="109"/>
      <c r="P167" s="21"/>
      <c r="Q167" s="109"/>
      <c r="R167" s="109"/>
    </row>
    <row r="168" spans="1:18" ht="16.5" thickBot="1" x14ac:dyDescent="0.3">
      <c r="A168" s="148"/>
      <c r="B168" s="152" t="s">
        <v>162</v>
      </c>
      <c r="C168" s="150">
        <f t="shared" ref="C168:R168" si="61">C10+C48+C60+C73+C77+C92+C133+C166</f>
        <v>857</v>
      </c>
      <c r="D168" s="150">
        <f t="shared" si="61"/>
        <v>9809800</v>
      </c>
      <c r="E168" s="150">
        <f t="shared" si="61"/>
        <v>0</v>
      </c>
      <c r="F168" s="150">
        <f t="shared" si="61"/>
        <v>0</v>
      </c>
      <c r="G168" s="150">
        <f t="shared" si="61"/>
        <v>488</v>
      </c>
      <c r="H168" s="150">
        <f t="shared" si="61"/>
        <v>4199100</v>
      </c>
      <c r="I168" s="150">
        <f t="shared" si="61"/>
        <v>0</v>
      </c>
      <c r="J168" s="150">
        <f t="shared" si="61"/>
        <v>0</v>
      </c>
      <c r="K168" s="150">
        <f t="shared" si="61"/>
        <v>169</v>
      </c>
      <c r="L168" s="150">
        <f t="shared" si="61"/>
        <v>2393000</v>
      </c>
      <c r="M168" s="150">
        <f t="shared" si="61"/>
        <v>0</v>
      </c>
      <c r="N168" s="150">
        <f t="shared" si="61"/>
        <v>0</v>
      </c>
      <c r="O168" s="150">
        <f t="shared" si="61"/>
        <v>200</v>
      </c>
      <c r="P168" s="150">
        <f t="shared" si="61"/>
        <v>3217700</v>
      </c>
      <c r="Q168" s="150">
        <f t="shared" si="61"/>
        <v>0</v>
      </c>
      <c r="R168" s="150">
        <f t="shared" si="61"/>
        <v>0</v>
      </c>
    </row>
    <row r="182" s="5" customFormat="1" x14ac:dyDescent="0.2"/>
    <row r="183" s="5" customFormat="1" x14ac:dyDescent="0.2"/>
  </sheetData>
  <mergeCells count="13">
    <mergeCell ref="O4:P4"/>
    <mergeCell ref="Q4:R4"/>
    <mergeCell ref="C3:D3"/>
    <mergeCell ref="E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H183"/>
  <sheetViews>
    <sheetView zoomScale="110" zoomScaleNormal="110" workbookViewId="0">
      <pane xSplit="2" ySplit="5" topLeftCell="C135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67.28515625" style="9" customWidth="1"/>
    <col min="3" max="3" width="11.28515625" style="12" customWidth="1"/>
    <col min="4" max="4" width="14.28515625" style="13" customWidth="1"/>
    <col min="5" max="5" width="12.140625" style="5" customWidth="1"/>
    <col min="6" max="6" width="14.7109375" style="5" customWidth="1"/>
    <col min="7" max="7" width="9.140625" style="5"/>
    <col min="9" max="16384" width="9.140625" style="5"/>
  </cols>
  <sheetData>
    <row r="1" spans="1:8" ht="14.45" customHeight="1" x14ac:dyDescent="0.2">
      <c r="A1" s="1"/>
      <c r="B1" s="14" t="s">
        <v>55</v>
      </c>
      <c r="C1" s="4"/>
      <c r="D1" s="3"/>
      <c r="H1" s="5"/>
    </row>
    <row r="2" spans="1:8" ht="14.45" customHeight="1" thickBot="1" x14ac:dyDescent="0.25">
      <c r="A2" s="1"/>
      <c r="B2" s="2"/>
      <c r="C2" s="4"/>
      <c r="D2" s="3"/>
      <c r="F2" s="17" t="s">
        <v>236</v>
      </c>
      <c r="H2" s="5"/>
    </row>
    <row r="3" spans="1:8" s="6" customFormat="1" ht="19.5" customHeight="1" thickBot="1" x14ac:dyDescent="0.3">
      <c r="A3" s="70"/>
      <c r="B3" s="71"/>
      <c r="C3" s="413" t="s">
        <v>56</v>
      </c>
      <c r="D3" s="415"/>
      <c r="E3" s="422" t="s">
        <v>56</v>
      </c>
      <c r="F3" s="423"/>
      <c r="G3" s="50" t="s">
        <v>60</v>
      </c>
    </row>
    <row r="4" spans="1:8" s="6" customFormat="1" ht="30.75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50"/>
    </row>
    <row r="5" spans="1:8" s="7" customFormat="1" ht="35.25" customHeight="1" thickBot="1" x14ac:dyDescent="0.25">
      <c r="A5" s="257" t="s">
        <v>62</v>
      </c>
      <c r="B5" s="257" t="s">
        <v>63</v>
      </c>
      <c r="C5" s="162" t="s">
        <v>57</v>
      </c>
      <c r="D5" s="158" t="s">
        <v>58</v>
      </c>
      <c r="E5" s="162" t="s">
        <v>57</v>
      </c>
      <c r="F5" s="158" t="s">
        <v>58</v>
      </c>
      <c r="G5" s="51"/>
    </row>
    <row r="6" spans="1:8" s="9" customFormat="1" x14ac:dyDescent="0.2">
      <c r="A6" s="175" t="s">
        <v>2</v>
      </c>
      <c r="B6" s="176" t="s">
        <v>3</v>
      </c>
      <c r="C6" s="177"/>
      <c r="D6" s="178"/>
      <c r="E6" s="177"/>
      <c r="F6" s="179"/>
    </row>
    <row r="7" spans="1:8" x14ac:dyDescent="0.2">
      <c r="A7" s="25"/>
      <c r="B7" s="48" t="s">
        <v>18</v>
      </c>
      <c r="C7" s="54"/>
      <c r="D7" s="119"/>
      <c r="E7" s="113"/>
      <c r="F7" s="180"/>
      <c r="H7" s="5"/>
    </row>
    <row r="8" spans="1:8" x14ac:dyDescent="0.2">
      <c r="A8" s="25"/>
      <c r="B8" s="48" t="s">
        <v>4</v>
      </c>
      <c r="C8" s="54"/>
      <c r="D8" s="119"/>
      <c r="E8" s="58"/>
      <c r="F8" s="180"/>
      <c r="H8" s="5"/>
    </row>
    <row r="9" spans="1:8" x14ac:dyDescent="0.2">
      <c r="A9" s="25"/>
      <c r="B9" s="48" t="s">
        <v>17</v>
      </c>
      <c r="C9" s="54"/>
      <c r="D9" s="119"/>
      <c r="E9" s="58"/>
      <c r="F9" s="180"/>
      <c r="H9" s="5"/>
    </row>
    <row r="10" spans="1:8" x14ac:dyDescent="0.2">
      <c r="A10" s="25"/>
      <c r="B10" s="48" t="s">
        <v>15</v>
      </c>
      <c r="C10" s="54">
        <v>1</v>
      </c>
      <c r="D10" s="119">
        <v>260000</v>
      </c>
      <c r="E10" s="58"/>
      <c r="F10" s="180"/>
      <c r="H10" s="5"/>
    </row>
    <row r="11" spans="1:8" ht="13.5" thickBot="1" x14ac:dyDescent="0.25">
      <c r="A11" s="187"/>
      <c r="B11" s="188" t="s">
        <v>16</v>
      </c>
      <c r="C11" s="202"/>
      <c r="D11" s="189"/>
      <c r="E11" s="190"/>
      <c r="F11" s="191"/>
      <c r="H11" s="5"/>
    </row>
    <row r="12" spans="1:8" s="9" customFormat="1" ht="13.5" thickBot="1" x14ac:dyDescent="0.25">
      <c r="A12" s="171"/>
      <c r="B12" s="172" t="s">
        <v>155</v>
      </c>
      <c r="C12" s="173">
        <f>SUM(C7:C11)</f>
        <v>1</v>
      </c>
      <c r="D12" s="173">
        <f>SUM(D7:D11)</f>
        <v>260000</v>
      </c>
      <c r="E12" s="173">
        <f>SUM(E7:E11)</f>
        <v>0</v>
      </c>
      <c r="F12" s="174">
        <f>SUM(F7:F11)</f>
        <v>0</v>
      </c>
    </row>
    <row r="13" spans="1:8" s="52" customFormat="1" x14ac:dyDescent="0.2">
      <c r="A13" s="175" t="s">
        <v>5</v>
      </c>
      <c r="B13" s="176" t="s">
        <v>89</v>
      </c>
      <c r="C13" s="177"/>
      <c r="D13" s="178"/>
      <c r="E13" s="177"/>
      <c r="F13" s="179"/>
    </row>
    <row r="14" spans="1:8" s="52" customFormat="1" ht="15" x14ac:dyDescent="0.25">
      <c r="A14" s="25"/>
      <c r="B14" s="209" t="s">
        <v>19</v>
      </c>
      <c r="C14" s="47">
        <v>10</v>
      </c>
      <c r="D14" s="119">
        <f>C14*3000</f>
        <v>30000</v>
      </c>
      <c r="E14" s="58"/>
      <c r="F14" s="180"/>
    </row>
    <row r="15" spans="1:8" s="52" customFormat="1" x14ac:dyDescent="0.2">
      <c r="A15" s="25"/>
      <c r="B15" s="209" t="s">
        <v>20</v>
      </c>
      <c r="C15" s="54">
        <v>1</v>
      </c>
      <c r="D15" s="119">
        <f>C15*11000</f>
        <v>11000</v>
      </c>
      <c r="E15" s="58"/>
      <c r="F15" s="180"/>
    </row>
    <row r="16" spans="1:8" s="52" customFormat="1" x14ac:dyDescent="0.2">
      <c r="A16" s="25"/>
      <c r="B16" s="318" t="s">
        <v>21</v>
      </c>
      <c r="C16" s="54"/>
      <c r="D16" s="119"/>
      <c r="E16" s="58"/>
      <c r="F16" s="180"/>
    </row>
    <row r="17" spans="1:6" s="52" customFormat="1" x14ac:dyDescent="0.2">
      <c r="A17" s="25"/>
      <c r="B17" s="318" t="s">
        <v>23</v>
      </c>
      <c r="C17" s="54"/>
      <c r="D17" s="119"/>
      <c r="E17" s="58"/>
      <c r="F17" s="180"/>
    </row>
    <row r="18" spans="1:6" s="38" customFormat="1" x14ac:dyDescent="0.2">
      <c r="A18" s="25"/>
      <c r="B18" s="318" t="s">
        <v>24</v>
      </c>
      <c r="C18" s="54"/>
      <c r="D18" s="119"/>
      <c r="E18" s="58"/>
      <c r="F18" s="180"/>
    </row>
    <row r="19" spans="1:6" s="38" customFormat="1" ht="15" x14ac:dyDescent="0.25">
      <c r="A19" s="25"/>
      <c r="B19" s="48" t="s">
        <v>25</v>
      </c>
      <c r="C19" s="47"/>
      <c r="D19" s="119"/>
      <c r="E19" s="58"/>
      <c r="F19" s="180"/>
    </row>
    <row r="20" spans="1:6" s="38" customFormat="1" x14ac:dyDescent="0.2">
      <c r="A20" s="25"/>
      <c r="B20" s="209" t="s">
        <v>26</v>
      </c>
      <c r="C20" s="54"/>
      <c r="D20" s="119"/>
      <c r="E20" s="58"/>
      <c r="F20" s="180"/>
    </row>
    <row r="21" spans="1:6" s="38" customFormat="1" x14ac:dyDescent="0.2">
      <c r="A21" s="25"/>
      <c r="B21" s="209" t="s">
        <v>27</v>
      </c>
      <c r="C21" s="54"/>
      <c r="D21" s="119"/>
      <c r="E21" s="58"/>
      <c r="F21" s="180"/>
    </row>
    <row r="22" spans="1:6" s="38" customFormat="1" x14ac:dyDescent="0.2">
      <c r="A22" s="25"/>
      <c r="B22" s="48" t="s">
        <v>28</v>
      </c>
      <c r="C22" s="54">
        <v>4</v>
      </c>
      <c r="D22" s="119">
        <f>C22*4000</f>
        <v>16000</v>
      </c>
      <c r="E22" s="58"/>
      <c r="F22" s="180"/>
    </row>
    <row r="23" spans="1:6" s="38" customFormat="1" x14ac:dyDescent="0.2">
      <c r="A23" s="25"/>
      <c r="B23" s="48" t="s">
        <v>29</v>
      </c>
      <c r="C23" s="54"/>
      <c r="D23" s="119"/>
      <c r="E23" s="58"/>
      <c r="F23" s="180"/>
    </row>
    <row r="24" spans="1:6" s="38" customFormat="1" x14ac:dyDescent="0.2">
      <c r="A24" s="25"/>
      <c r="B24" s="48" t="s">
        <v>30</v>
      </c>
      <c r="C24" s="54"/>
      <c r="D24" s="119"/>
      <c r="E24" s="58"/>
      <c r="F24" s="180"/>
    </row>
    <row r="25" spans="1:6" s="38" customFormat="1" x14ac:dyDescent="0.2">
      <c r="A25" s="25"/>
      <c r="B25" s="48" t="s">
        <v>31</v>
      </c>
      <c r="C25" s="54">
        <v>2</v>
      </c>
      <c r="D25" s="119">
        <f>C25*4000</f>
        <v>8000</v>
      </c>
      <c r="E25" s="58"/>
      <c r="F25" s="180"/>
    </row>
    <row r="26" spans="1:6" s="38" customFormat="1" x14ac:dyDescent="0.2">
      <c r="A26" s="25"/>
      <c r="B26" s="209" t="s">
        <v>32</v>
      </c>
      <c r="C26" s="54">
        <v>15</v>
      </c>
      <c r="D26" s="119">
        <f>C26*2500</f>
        <v>37500</v>
      </c>
      <c r="E26" s="58"/>
      <c r="F26" s="180"/>
    </row>
    <row r="27" spans="1:6" s="38" customFormat="1" x14ac:dyDescent="0.2">
      <c r="A27" s="25"/>
      <c r="B27" s="209" t="s">
        <v>33</v>
      </c>
      <c r="C27" s="54">
        <v>15</v>
      </c>
      <c r="D27" s="119">
        <f>C27*2500</f>
        <v>37500</v>
      </c>
      <c r="E27" s="58"/>
      <c r="F27" s="180"/>
    </row>
    <row r="28" spans="1:6" s="38" customFormat="1" x14ac:dyDescent="0.2">
      <c r="A28" s="25"/>
      <c r="B28" s="209" t="s">
        <v>35</v>
      </c>
      <c r="C28" s="54"/>
      <c r="D28" s="119"/>
      <c r="E28" s="58"/>
      <c r="F28" s="180"/>
    </row>
    <row r="29" spans="1:6" s="38" customFormat="1" x14ac:dyDescent="0.2">
      <c r="A29" s="25"/>
      <c r="B29" s="209" t="s">
        <v>36</v>
      </c>
      <c r="C29" s="54">
        <v>2</v>
      </c>
      <c r="D29" s="119">
        <f>C29*5000</f>
        <v>10000</v>
      </c>
      <c r="E29" s="58"/>
      <c r="F29" s="180"/>
    </row>
    <row r="30" spans="1:6" s="38" customFormat="1" x14ac:dyDescent="0.2">
      <c r="A30" s="25"/>
      <c r="B30" s="209" t="s">
        <v>37</v>
      </c>
      <c r="C30" s="54">
        <v>6</v>
      </c>
      <c r="D30" s="119">
        <f>C30*3000</f>
        <v>18000</v>
      </c>
      <c r="E30" s="58"/>
      <c r="F30" s="180"/>
    </row>
    <row r="31" spans="1:6" s="38" customFormat="1" x14ac:dyDescent="0.2">
      <c r="A31" s="25"/>
      <c r="B31" s="48" t="s">
        <v>38</v>
      </c>
      <c r="C31" s="54">
        <v>4</v>
      </c>
      <c r="D31" s="119">
        <f>C31*2500</f>
        <v>10000</v>
      </c>
      <c r="E31" s="58"/>
      <c r="F31" s="180"/>
    </row>
    <row r="32" spans="1:6" s="38" customFormat="1" x14ac:dyDescent="0.2">
      <c r="A32" s="25"/>
      <c r="B32" s="209" t="s">
        <v>39</v>
      </c>
      <c r="C32" s="54"/>
      <c r="D32" s="119">
        <f>C32*2000</f>
        <v>0</v>
      </c>
      <c r="E32" s="58"/>
      <c r="F32" s="180"/>
    </row>
    <row r="33" spans="1:8" s="38" customFormat="1" ht="15" x14ac:dyDescent="0.25">
      <c r="A33" s="25"/>
      <c r="B33" s="209" t="s">
        <v>40</v>
      </c>
      <c r="C33" s="47">
        <v>2</v>
      </c>
      <c r="D33" s="119">
        <f>C33*3000</f>
        <v>6000</v>
      </c>
      <c r="E33" s="58"/>
      <c r="F33" s="180"/>
    </row>
    <row r="34" spans="1:8" s="38" customFormat="1" x14ac:dyDescent="0.2">
      <c r="A34" s="25"/>
      <c r="B34" s="209" t="s">
        <v>41</v>
      </c>
      <c r="C34" s="54">
        <v>5</v>
      </c>
      <c r="D34" s="119">
        <f>C34*2500</f>
        <v>12500</v>
      </c>
      <c r="E34" s="58"/>
      <c r="F34" s="180"/>
    </row>
    <row r="35" spans="1:8" s="38" customFormat="1" x14ac:dyDescent="0.2">
      <c r="A35" s="25"/>
      <c r="B35" s="209" t="s">
        <v>42</v>
      </c>
      <c r="C35" s="54">
        <v>6</v>
      </c>
      <c r="D35" s="119">
        <f>C35*2000</f>
        <v>12000</v>
      </c>
      <c r="E35" s="58"/>
      <c r="F35" s="180"/>
    </row>
    <row r="36" spans="1:8" s="38" customFormat="1" x14ac:dyDescent="0.2">
      <c r="A36" s="25"/>
      <c r="B36" s="48" t="s">
        <v>43</v>
      </c>
      <c r="C36" s="54">
        <v>10</v>
      </c>
      <c r="D36" s="119">
        <f>C36*1200</f>
        <v>12000</v>
      </c>
      <c r="E36" s="58"/>
      <c r="F36" s="180"/>
    </row>
    <row r="37" spans="1:8" s="38" customFormat="1" x14ac:dyDescent="0.2">
      <c r="A37" s="25"/>
      <c r="B37" s="48" t="s">
        <v>44</v>
      </c>
      <c r="C37" s="54">
        <v>4</v>
      </c>
      <c r="D37" s="119">
        <f>C37*2000</f>
        <v>8000</v>
      </c>
      <c r="E37" s="58"/>
      <c r="F37" s="180"/>
    </row>
    <row r="38" spans="1:8" s="38" customFormat="1" ht="15" x14ac:dyDescent="0.25">
      <c r="A38" s="25"/>
      <c r="B38" s="48" t="s">
        <v>45</v>
      </c>
      <c r="C38" s="47">
        <v>1</v>
      </c>
      <c r="D38" s="119">
        <f>C38*7500</f>
        <v>7500</v>
      </c>
      <c r="E38" s="58"/>
      <c r="F38" s="180"/>
    </row>
    <row r="39" spans="1:8" s="38" customFormat="1" x14ac:dyDescent="0.2">
      <c r="A39" s="25"/>
      <c r="B39" s="48" t="s">
        <v>46</v>
      </c>
      <c r="C39" s="54"/>
      <c r="D39" s="119"/>
      <c r="E39" s="58"/>
      <c r="F39" s="180"/>
    </row>
    <row r="40" spans="1:8" s="38" customFormat="1" ht="15" x14ac:dyDescent="0.25">
      <c r="A40" s="25"/>
      <c r="B40" s="209" t="s">
        <v>47</v>
      </c>
      <c r="C40" s="47">
        <v>10</v>
      </c>
      <c r="D40" s="119">
        <f>1500*C40</f>
        <v>15000</v>
      </c>
      <c r="E40" s="58"/>
      <c r="F40" s="180"/>
    </row>
    <row r="41" spans="1:8" s="38" customFormat="1" ht="15" x14ac:dyDescent="0.25">
      <c r="A41" s="25"/>
      <c r="B41" s="209" t="s">
        <v>48</v>
      </c>
      <c r="C41" s="47">
        <v>40</v>
      </c>
      <c r="D41" s="119">
        <f>800*C41</f>
        <v>32000</v>
      </c>
      <c r="E41" s="58"/>
      <c r="F41" s="180"/>
    </row>
    <row r="42" spans="1:8" s="38" customFormat="1" x14ac:dyDescent="0.2">
      <c r="A42" s="25"/>
      <c r="B42" s="48" t="s">
        <v>49</v>
      </c>
      <c r="C42" s="54"/>
      <c r="D42" s="119"/>
      <c r="E42" s="58"/>
      <c r="F42" s="180"/>
    </row>
    <row r="43" spans="1:8" s="38" customFormat="1" x14ac:dyDescent="0.2">
      <c r="A43" s="25"/>
      <c r="B43" s="48" t="s">
        <v>50</v>
      </c>
      <c r="C43" s="54"/>
      <c r="D43" s="119">
        <f>C43*3000</f>
        <v>0</v>
      </c>
      <c r="E43" s="58"/>
      <c r="F43" s="180"/>
    </row>
    <row r="44" spans="1:8" s="38" customFormat="1" x14ac:dyDescent="0.2">
      <c r="A44" s="25"/>
      <c r="B44" s="48" t="s">
        <v>51</v>
      </c>
      <c r="C44" s="54">
        <v>3</v>
      </c>
      <c r="D44" s="119">
        <f>C44*4000</f>
        <v>12000</v>
      </c>
      <c r="E44" s="58"/>
      <c r="F44" s="180"/>
    </row>
    <row r="45" spans="1:8" s="38" customFormat="1" x14ac:dyDescent="0.2">
      <c r="A45" s="25"/>
      <c r="B45" s="48" t="s">
        <v>52</v>
      </c>
      <c r="C45" s="54">
        <v>4</v>
      </c>
      <c r="D45" s="119">
        <f>C45*3000</f>
        <v>12000</v>
      </c>
      <c r="E45" s="58"/>
      <c r="F45" s="180"/>
    </row>
    <row r="46" spans="1:8" s="38" customFormat="1" ht="15" x14ac:dyDescent="0.25">
      <c r="A46" s="25"/>
      <c r="B46" s="209" t="s">
        <v>53</v>
      </c>
      <c r="C46" s="47">
        <v>2</v>
      </c>
      <c r="D46" s="119">
        <f>C46*3000</f>
        <v>6000</v>
      </c>
      <c r="E46" s="58"/>
      <c r="F46" s="180"/>
    </row>
    <row r="47" spans="1:8" s="38" customFormat="1" ht="15.75" thickBot="1" x14ac:dyDescent="0.3">
      <c r="A47" s="187"/>
      <c r="B47" s="188" t="s">
        <v>54</v>
      </c>
      <c r="C47" s="120">
        <v>2</v>
      </c>
      <c r="D47" s="189">
        <f>C47*4500</f>
        <v>9000</v>
      </c>
      <c r="E47" s="190"/>
      <c r="F47" s="191"/>
    </row>
    <row r="48" spans="1:8" ht="13.5" thickBot="1" x14ac:dyDescent="0.25">
      <c r="A48" s="171"/>
      <c r="B48" s="172" t="s">
        <v>154</v>
      </c>
      <c r="C48" s="173">
        <f>SUM(C14:C47)</f>
        <v>148</v>
      </c>
      <c r="D48" s="173">
        <f t="shared" ref="D48:F48" si="0">SUM(D14:D47)</f>
        <v>322000</v>
      </c>
      <c r="E48" s="173">
        <f t="shared" si="0"/>
        <v>0</v>
      </c>
      <c r="F48" s="174">
        <f t="shared" si="0"/>
        <v>0</v>
      </c>
      <c r="H48" s="5"/>
    </row>
    <row r="49" spans="1:8" s="38" customFormat="1" x14ac:dyDescent="0.2">
      <c r="A49" s="175" t="s">
        <v>6</v>
      </c>
      <c r="B49" s="194" t="s">
        <v>61</v>
      </c>
      <c r="C49" s="177"/>
      <c r="D49" s="178"/>
      <c r="E49" s="177"/>
      <c r="F49" s="179"/>
    </row>
    <row r="50" spans="1:8" s="38" customFormat="1" ht="15" x14ac:dyDescent="0.25">
      <c r="A50" s="25"/>
      <c r="B50" s="48" t="s">
        <v>64</v>
      </c>
      <c r="C50" s="47">
        <v>4</v>
      </c>
      <c r="D50" s="119">
        <f>C50*8000</f>
        <v>32000</v>
      </c>
      <c r="E50" s="58"/>
      <c r="F50" s="180"/>
    </row>
    <row r="51" spans="1:8" s="38" customFormat="1" ht="15" x14ac:dyDescent="0.25">
      <c r="A51" s="25"/>
      <c r="B51" s="48" t="s">
        <v>65</v>
      </c>
      <c r="C51" s="47">
        <v>2</v>
      </c>
      <c r="D51" s="119">
        <f>C51*18000</f>
        <v>36000</v>
      </c>
      <c r="E51" s="58"/>
      <c r="F51" s="180"/>
    </row>
    <row r="52" spans="1:8" s="38" customFormat="1" ht="15" x14ac:dyDescent="0.25">
      <c r="A52" s="25"/>
      <c r="B52" s="193" t="s">
        <v>66</v>
      </c>
      <c r="C52" s="47">
        <v>1</v>
      </c>
      <c r="D52" s="119">
        <f>C52*3000</f>
        <v>3000</v>
      </c>
      <c r="E52" s="58"/>
      <c r="F52" s="180"/>
    </row>
    <row r="53" spans="1:8" s="38" customFormat="1" x14ac:dyDescent="0.2">
      <c r="A53" s="25"/>
      <c r="B53" s="48" t="s">
        <v>67</v>
      </c>
      <c r="C53" s="54">
        <v>4</v>
      </c>
      <c r="D53" s="119">
        <f>C53*6000</f>
        <v>24000</v>
      </c>
      <c r="E53" s="58"/>
      <c r="F53" s="180"/>
    </row>
    <row r="54" spans="1:8" s="38" customFormat="1" ht="15" x14ac:dyDescent="0.25">
      <c r="A54" s="25"/>
      <c r="B54" s="48" t="s">
        <v>68</v>
      </c>
      <c r="C54" s="47">
        <v>1</v>
      </c>
      <c r="D54" s="119">
        <f>C54*8000</f>
        <v>8000</v>
      </c>
      <c r="E54" s="58"/>
      <c r="F54" s="180"/>
    </row>
    <row r="55" spans="1:8" s="38" customFormat="1" x14ac:dyDescent="0.2">
      <c r="A55" s="143"/>
      <c r="B55" s="48" t="s">
        <v>69</v>
      </c>
      <c r="C55" s="54"/>
      <c r="D55" s="119">
        <f>C55*5000</f>
        <v>0</v>
      </c>
      <c r="E55" s="58"/>
      <c r="F55" s="180"/>
    </row>
    <row r="56" spans="1:8" s="38" customFormat="1" x14ac:dyDescent="0.2">
      <c r="A56" s="143"/>
      <c r="B56" s="48" t="s">
        <v>70</v>
      </c>
      <c r="C56" s="54"/>
      <c r="D56" s="119"/>
      <c r="E56" s="58"/>
      <c r="F56" s="180"/>
    </row>
    <row r="57" spans="1:8" s="38" customFormat="1" x14ac:dyDescent="0.2">
      <c r="A57" s="143"/>
      <c r="B57" s="48" t="s">
        <v>71</v>
      </c>
      <c r="C57" s="54">
        <v>1</v>
      </c>
      <c r="D57" s="119">
        <f>C57*10000</f>
        <v>10000</v>
      </c>
      <c r="E57" s="58"/>
      <c r="F57" s="180"/>
    </row>
    <row r="58" spans="1:8" s="38" customFormat="1" x14ac:dyDescent="0.2">
      <c r="A58" s="197"/>
      <c r="B58" s="188" t="s">
        <v>72</v>
      </c>
      <c r="C58" s="202"/>
      <c r="D58" s="189"/>
      <c r="E58" s="190"/>
      <c r="F58" s="191"/>
    </row>
    <row r="59" spans="1:8" s="38" customFormat="1" ht="13.5" thickBot="1" x14ac:dyDescent="0.25">
      <c r="A59" s="311"/>
      <c r="B59" s="312" t="s">
        <v>73</v>
      </c>
      <c r="C59" s="313"/>
      <c r="D59" s="314"/>
      <c r="E59" s="315"/>
      <c r="F59" s="309"/>
    </row>
    <row r="60" spans="1:8" x14ac:dyDescent="0.2">
      <c r="A60" s="171"/>
      <c r="B60" s="172" t="s">
        <v>156</v>
      </c>
      <c r="C60" s="173">
        <f>SUM(C50:C59)</f>
        <v>13</v>
      </c>
      <c r="D60" s="173">
        <f>SUM(D50:D59)</f>
        <v>113000</v>
      </c>
      <c r="E60" s="173">
        <f>SUM(E50:E59)</f>
        <v>0</v>
      </c>
      <c r="F60" s="173">
        <f>SUM(F50:F59)</f>
        <v>0</v>
      </c>
      <c r="H60" s="5"/>
    </row>
    <row r="61" spans="1:8" x14ac:dyDescent="0.2">
      <c r="A61" s="57" t="s">
        <v>7</v>
      </c>
      <c r="B61" s="112" t="s">
        <v>74</v>
      </c>
      <c r="C61" s="113"/>
      <c r="D61" s="119"/>
      <c r="E61" s="113"/>
      <c r="F61" s="113"/>
      <c r="H61" s="5"/>
    </row>
    <row r="62" spans="1:8" s="38" customFormat="1" x14ac:dyDescent="0.2">
      <c r="A62" s="57"/>
      <c r="B62" s="135" t="s">
        <v>75</v>
      </c>
      <c r="C62" s="54"/>
      <c r="D62" s="119"/>
      <c r="E62" s="58"/>
      <c r="F62" s="54"/>
    </row>
    <row r="63" spans="1:8" s="38" customFormat="1" x14ac:dyDescent="0.2">
      <c r="A63" s="57"/>
      <c r="B63" s="135" t="s">
        <v>76</v>
      </c>
      <c r="C63" s="54"/>
      <c r="D63" s="119"/>
      <c r="E63" s="58"/>
      <c r="F63" s="54"/>
    </row>
    <row r="64" spans="1:8" s="38" customFormat="1" ht="15" x14ac:dyDescent="0.25">
      <c r="A64" s="57"/>
      <c r="B64" s="135" t="s">
        <v>77</v>
      </c>
      <c r="C64" s="47">
        <v>1</v>
      </c>
      <c r="D64" s="47">
        <f>C64*105000</f>
        <v>105000</v>
      </c>
      <c r="E64" s="58"/>
      <c r="F64" s="54"/>
    </row>
    <row r="65" spans="1:8" s="38" customFormat="1" x14ac:dyDescent="0.2">
      <c r="A65" s="57"/>
      <c r="B65" s="135" t="s">
        <v>78</v>
      </c>
      <c r="C65" s="54">
        <v>2</v>
      </c>
      <c r="D65" s="119">
        <f>C65*2500</f>
        <v>5000</v>
      </c>
      <c r="E65" s="58"/>
      <c r="F65" s="54"/>
    </row>
    <row r="66" spans="1:8" s="38" customFormat="1" x14ac:dyDescent="0.2">
      <c r="A66" s="57"/>
      <c r="B66" s="135" t="s">
        <v>79</v>
      </c>
      <c r="C66" s="54">
        <v>2</v>
      </c>
      <c r="D66" s="119">
        <f>C66*8000</f>
        <v>16000</v>
      </c>
      <c r="E66" s="58"/>
      <c r="F66" s="54"/>
    </row>
    <row r="67" spans="1:8" s="38" customFormat="1" x14ac:dyDescent="0.2">
      <c r="A67" s="57"/>
      <c r="B67" s="135" t="s">
        <v>80</v>
      </c>
      <c r="C67" s="54"/>
      <c r="D67" s="119"/>
      <c r="E67" s="58"/>
      <c r="F67" s="54"/>
    </row>
    <row r="68" spans="1:8" s="38" customFormat="1" x14ac:dyDescent="0.2">
      <c r="A68" s="57"/>
      <c r="B68" s="135" t="s">
        <v>81</v>
      </c>
      <c r="C68" s="54"/>
      <c r="D68" s="119"/>
      <c r="E68" s="58"/>
      <c r="F68" s="54"/>
    </row>
    <row r="69" spans="1:8" s="38" customFormat="1" x14ac:dyDescent="0.2">
      <c r="A69" s="57"/>
      <c r="B69" s="135" t="s">
        <v>82</v>
      </c>
      <c r="C69" s="54">
        <v>5</v>
      </c>
      <c r="D69" s="119">
        <f>C69*2000</f>
        <v>10000</v>
      </c>
      <c r="E69" s="58"/>
      <c r="F69" s="54"/>
    </row>
    <row r="70" spans="1:8" s="38" customFormat="1" x14ac:dyDescent="0.2">
      <c r="A70" s="57"/>
      <c r="B70" s="135" t="s">
        <v>83</v>
      </c>
      <c r="C70" s="54">
        <v>1</v>
      </c>
      <c r="D70" s="119">
        <f>C70*15000</f>
        <v>15000</v>
      </c>
      <c r="E70" s="58"/>
      <c r="F70" s="54"/>
    </row>
    <row r="71" spans="1:8" s="38" customFormat="1" x14ac:dyDescent="0.2">
      <c r="A71" s="57"/>
      <c r="B71" s="135" t="s">
        <v>84</v>
      </c>
      <c r="C71" s="54"/>
      <c r="D71" s="119"/>
      <c r="E71" s="58"/>
      <c r="F71" s="54"/>
    </row>
    <row r="72" spans="1:8" s="38" customFormat="1" x14ac:dyDescent="0.2">
      <c r="A72" s="57"/>
      <c r="B72" s="135" t="s">
        <v>85</v>
      </c>
      <c r="C72" s="54">
        <v>2</v>
      </c>
      <c r="D72" s="119">
        <f>C72*2000</f>
        <v>4000</v>
      </c>
      <c r="E72" s="58"/>
      <c r="F72" s="54"/>
    </row>
    <row r="73" spans="1:8" x14ac:dyDescent="0.2">
      <c r="A73" s="99"/>
      <c r="B73" s="258" t="s">
        <v>157</v>
      </c>
      <c r="C73" s="234">
        <f>SUM(C62:C72)</f>
        <v>13</v>
      </c>
      <c r="D73" s="234">
        <f t="shared" ref="D73:F73" si="1">SUM(D62:D72)</f>
        <v>155000</v>
      </c>
      <c r="E73" s="234">
        <f t="shared" si="1"/>
        <v>0</v>
      </c>
      <c r="F73" s="234">
        <f t="shared" si="1"/>
        <v>0</v>
      </c>
      <c r="H73" s="5"/>
    </row>
    <row r="74" spans="1:8" x14ac:dyDescent="0.2">
      <c r="A74" s="57" t="s">
        <v>8</v>
      </c>
      <c r="B74" s="192" t="s">
        <v>86</v>
      </c>
      <c r="C74" s="113"/>
      <c r="D74" s="119"/>
      <c r="E74" s="113"/>
      <c r="F74" s="113"/>
      <c r="H74" s="5"/>
    </row>
    <row r="75" spans="1:8" s="38" customFormat="1" x14ac:dyDescent="0.2">
      <c r="A75" s="57"/>
      <c r="B75" s="193" t="s">
        <v>87</v>
      </c>
      <c r="C75" s="54"/>
      <c r="D75" s="119"/>
      <c r="E75" s="58"/>
      <c r="F75" s="54"/>
    </row>
    <row r="76" spans="1:8" s="38" customFormat="1" ht="25.5" x14ac:dyDescent="0.2">
      <c r="A76" s="57"/>
      <c r="B76" s="193" t="s">
        <v>88</v>
      </c>
      <c r="C76" s="54"/>
      <c r="D76" s="119"/>
      <c r="E76" s="58"/>
      <c r="F76" s="54"/>
    </row>
    <row r="77" spans="1:8" ht="13.5" thickBot="1" x14ac:dyDescent="0.25">
      <c r="A77" s="99"/>
      <c r="B77" s="258" t="s">
        <v>158</v>
      </c>
      <c r="C77" s="234">
        <f>SUM(C75:C76)</f>
        <v>0</v>
      </c>
      <c r="D77" s="234">
        <f t="shared" ref="D77:F77" si="2">SUM(D75:D76)</f>
        <v>0</v>
      </c>
      <c r="E77" s="234">
        <f t="shared" si="2"/>
        <v>0</v>
      </c>
      <c r="F77" s="234">
        <f t="shared" si="2"/>
        <v>0</v>
      </c>
      <c r="H77" s="5"/>
    </row>
    <row r="78" spans="1:8" x14ac:dyDescent="0.2">
      <c r="A78" s="175" t="s">
        <v>9</v>
      </c>
      <c r="B78" s="176" t="s">
        <v>90</v>
      </c>
      <c r="C78" s="177"/>
      <c r="D78" s="178"/>
      <c r="E78" s="177"/>
      <c r="F78" s="179"/>
      <c r="H78" s="5"/>
    </row>
    <row r="79" spans="1:8" s="38" customFormat="1" ht="15" x14ac:dyDescent="0.25">
      <c r="A79" s="25"/>
      <c r="B79" s="205" t="s">
        <v>91</v>
      </c>
      <c r="C79" s="47">
        <v>3</v>
      </c>
      <c r="D79" s="119">
        <f>C79*550000</f>
        <v>1650000</v>
      </c>
      <c r="E79" s="58"/>
      <c r="F79" s="180"/>
    </row>
    <row r="80" spans="1:8" s="38" customFormat="1" ht="15" x14ac:dyDescent="0.25">
      <c r="A80" s="25"/>
      <c r="B80" s="205" t="s">
        <v>92</v>
      </c>
      <c r="C80" s="47">
        <v>3</v>
      </c>
      <c r="D80" s="119">
        <f>C80*450000</f>
        <v>1350000</v>
      </c>
      <c r="E80" s="58"/>
      <c r="F80" s="180"/>
    </row>
    <row r="81" spans="1:8" s="38" customFormat="1" ht="15" x14ac:dyDescent="0.25">
      <c r="A81" s="25"/>
      <c r="B81" s="205" t="s">
        <v>93</v>
      </c>
      <c r="C81" s="47">
        <v>1</v>
      </c>
      <c r="D81" s="119">
        <f>C81*15000</f>
        <v>15000</v>
      </c>
      <c r="E81" s="58"/>
      <c r="F81" s="180"/>
    </row>
    <row r="82" spans="1:8" s="38" customFormat="1" x14ac:dyDescent="0.2">
      <c r="A82" s="25"/>
      <c r="B82" s="205" t="s">
        <v>94</v>
      </c>
      <c r="C82" s="54">
        <v>0</v>
      </c>
      <c r="D82" s="119">
        <f>C82*130000</f>
        <v>0</v>
      </c>
      <c r="E82" s="58"/>
      <c r="F82" s="180"/>
    </row>
    <row r="83" spans="1:8" s="38" customFormat="1" x14ac:dyDescent="0.2">
      <c r="A83" s="25"/>
      <c r="B83" s="48" t="s">
        <v>95</v>
      </c>
      <c r="C83" s="54">
        <v>4</v>
      </c>
      <c r="D83" s="119">
        <f>C83*5000</f>
        <v>20000</v>
      </c>
      <c r="E83" s="58"/>
      <c r="F83" s="180"/>
    </row>
    <row r="84" spans="1:8" s="38" customFormat="1" ht="15" x14ac:dyDescent="0.25">
      <c r="A84" s="25"/>
      <c r="B84" s="205" t="s">
        <v>96</v>
      </c>
      <c r="C84" s="47">
        <v>2</v>
      </c>
      <c r="D84" s="119">
        <f>C84*5000</f>
        <v>10000</v>
      </c>
      <c r="E84" s="58"/>
      <c r="F84" s="180"/>
    </row>
    <row r="85" spans="1:8" s="38" customFormat="1" ht="15" x14ac:dyDescent="0.25">
      <c r="A85" s="25"/>
      <c r="B85" s="205" t="s">
        <v>97</v>
      </c>
      <c r="C85" s="47">
        <v>1</v>
      </c>
      <c r="D85" s="119">
        <f>C85*7000</f>
        <v>7000</v>
      </c>
      <c r="E85" s="58"/>
      <c r="F85" s="180"/>
    </row>
    <row r="86" spans="1:8" s="38" customFormat="1" ht="15" x14ac:dyDescent="0.25">
      <c r="A86" s="25"/>
      <c r="B86" s="205" t="s">
        <v>98</v>
      </c>
      <c r="C86" s="47">
        <v>6</v>
      </c>
      <c r="D86" s="119">
        <f>C86*8000</f>
        <v>48000</v>
      </c>
      <c r="E86" s="58"/>
      <c r="F86" s="180"/>
    </row>
    <row r="87" spans="1:8" s="38" customFormat="1" ht="15" x14ac:dyDescent="0.25">
      <c r="A87" s="25"/>
      <c r="B87" s="205" t="s">
        <v>99</v>
      </c>
      <c r="C87" s="47">
        <v>0</v>
      </c>
      <c r="D87" s="119">
        <f>C87*8000</f>
        <v>0</v>
      </c>
      <c r="E87" s="58"/>
      <c r="F87" s="180"/>
    </row>
    <row r="88" spans="1:8" s="38" customFormat="1" x14ac:dyDescent="0.2">
      <c r="A88" s="25"/>
      <c r="B88" s="205" t="s">
        <v>100</v>
      </c>
      <c r="C88" s="54">
        <v>0</v>
      </c>
      <c r="D88" s="119">
        <f>C88*25000</f>
        <v>0</v>
      </c>
      <c r="E88" s="58"/>
      <c r="F88" s="180"/>
    </row>
    <row r="89" spans="1:8" s="38" customFormat="1" x14ac:dyDescent="0.2">
      <c r="A89" s="25"/>
      <c r="B89" s="205" t="s">
        <v>101</v>
      </c>
      <c r="C89" s="54">
        <v>3</v>
      </c>
      <c r="D89" s="119">
        <f>C89*1500</f>
        <v>4500</v>
      </c>
      <c r="E89" s="58"/>
      <c r="F89" s="180"/>
    </row>
    <row r="90" spans="1:8" s="38" customFormat="1" ht="15" x14ac:dyDescent="0.25">
      <c r="A90" s="25"/>
      <c r="B90" s="205" t="s">
        <v>102</v>
      </c>
      <c r="C90" s="47">
        <v>4</v>
      </c>
      <c r="D90" s="119">
        <f>C90*35000</f>
        <v>140000</v>
      </c>
      <c r="E90" s="58"/>
      <c r="F90" s="180"/>
    </row>
    <row r="91" spans="1:8" s="38" customFormat="1" ht="13.5" thickBot="1" x14ac:dyDescent="0.25">
      <c r="A91" s="181"/>
      <c r="B91" s="182" t="s">
        <v>103</v>
      </c>
      <c r="C91" s="200"/>
      <c r="D91" s="184"/>
      <c r="E91" s="185"/>
      <c r="F91" s="186"/>
    </row>
    <row r="92" spans="1:8" ht="13.5" thickBot="1" x14ac:dyDescent="0.25">
      <c r="A92" s="99"/>
      <c r="B92" s="258" t="s">
        <v>159</v>
      </c>
      <c r="C92" s="234">
        <f>SUM(C79:C91)</f>
        <v>27</v>
      </c>
      <c r="D92" s="234">
        <f>SUM(D79:D91)</f>
        <v>3244500</v>
      </c>
      <c r="E92" s="234">
        <f>SUM(E79:E91)</f>
        <v>0</v>
      </c>
      <c r="F92" s="234">
        <f>SUM(F79:F91)</f>
        <v>0</v>
      </c>
      <c r="H92" s="5"/>
    </row>
    <row r="93" spans="1:8" x14ac:dyDescent="0.2">
      <c r="A93" s="210" t="s">
        <v>10</v>
      </c>
      <c r="B93" s="211" t="s">
        <v>104</v>
      </c>
      <c r="C93" s="177"/>
      <c r="D93" s="178"/>
      <c r="E93" s="177"/>
      <c r="F93" s="179"/>
      <c r="H93" s="5"/>
    </row>
    <row r="94" spans="1:8" s="141" customFormat="1" ht="15" x14ac:dyDescent="0.25">
      <c r="A94" s="143"/>
      <c r="B94" s="205" t="s">
        <v>105</v>
      </c>
      <c r="C94" s="47"/>
      <c r="D94" s="119"/>
      <c r="E94" s="58"/>
      <c r="F94" s="180"/>
    </row>
    <row r="95" spans="1:8" s="38" customFormat="1" x14ac:dyDescent="0.2">
      <c r="A95" s="25"/>
      <c r="B95" s="48" t="s">
        <v>106</v>
      </c>
      <c r="C95" s="54"/>
      <c r="D95" s="119"/>
      <c r="E95" s="113"/>
      <c r="F95" s="180"/>
    </row>
    <row r="96" spans="1:8" s="38" customFormat="1" x14ac:dyDescent="0.2">
      <c r="A96" s="25"/>
      <c r="B96" s="48" t="s">
        <v>107</v>
      </c>
      <c r="C96" s="54"/>
      <c r="D96" s="119"/>
      <c r="E96" s="113"/>
      <c r="F96" s="180"/>
    </row>
    <row r="97" spans="1:6" s="38" customFormat="1" ht="15" x14ac:dyDescent="0.25">
      <c r="A97" s="25"/>
      <c r="B97" s="208" t="s">
        <v>109</v>
      </c>
      <c r="C97" s="47"/>
      <c r="D97" s="119"/>
      <c r="E97" s="113"/>
      <c r="F97" s="180"/>
    </row>
    <row r="98" spans="1:6" s="38" customFormat="1" x14ac:dyDescent="0.2">
      <c r="A98" s="25"/>
      <c r="B98" s="208" t="s">
        <v>111</v>
      </c>
      <c r="C98" s="54"/>
      <c r="D98" s="119"/>
      <c r="E98" s="58"/>
      <c r="F98" s="180"/>
    </row>
    <row r="99" spans="1:6" s="38" customFormat="1" x14ac:dyDescent="0.2">
      <c r="A99" s="25"/>
      <c r="B99" s="208" t="s">
        <v>113</v>
      </c>
      <c r="C99" s="54"/>
      <c r="D99" s="119"/>
      <c r="E99" s="113"/>
      <c r="F99" s="180"/>
    </row>
    <row r="100" spans="1:6" s="38" customFormat="1" x14ac:dyDescent="0.2">
      <c r="A100" s="25"/>
      <c r="B100" s="208" t="s">
        <v>115</v>
      </c>
      <c r="C100" s="54"/>
      <c r="D100" s="119"/>
      <c r="E100" s="113"/>
      <c r="F100" s="180"/>
    </row>
    <row r="101" spans="1:6" s="38" customFormat="1" x14ac:dyDescent="0.2">
      <c r="A101" s="25"/>
      <c r="B101" s="208" t="s">
        <v>279</v>
      </c>
      <c r="C101" s="54"/>
      <c r="D101" s="119"/>
      <c r="E101" s="113"/>
      <c r="F101" s="180"/>
    </row>
    <row r="102" spans="1:6" s="38" customFormat="1" x14ac:dyDescent="0.2">
      <c r="A102" s="25"/>
      <c r="B102" s="205" t="s">
        <v>116</v>
      </c>
      <c r="C102" s="54"/>
      <c r="D102" s="119"/>
      <c r="E102" s="113"/>
      <c r="F102" s="180"/>
    </row>
    <row r="103" spans="1:6" s="141" customFormat="1" ht="15" x14ac:dyDescent="0.25">
      <c r="A103" s="25"/>
      <c r="B103" s="208" t="s">
        <v>117</v>
      </c>
      <c r="C103" s="47"/>
      <c r="D103" s="119"/>
      <c r="E103" s="113"/>
      <c r="F103" s="180"/>
    </row>
    <row r="104" spans="1:6" s="38" customFormat="1" x14ac:dyDescent="0.2">
      <c r="A104" s="25"/>
      <c r="B104" s="48" t="s">
        <v>118</v>
      </c>
      <c r="C104" s="54"/>
      <c r="D104" s="119"/>
      <c r="E104" s="58"/>
      <c r="F104" s="180"/>
    </row>
    <row r="105" spans="1:6" s="141" customFormat="1" x14ac:dyDescent="0.2">
      <c r="A105" s="143"/>
      <c r="B105" s="205" t="s">
        <v>119</v>
      </c>
      <c r="C105" s="54"/>
      <c r="D105" s="119"/>
      <c r="E105" s="113"/>
      <c r="F105" s="180"/>
    </row>
    <row r="106" spans="1:6" s="141" customFormat="1" x14ac:dyDescent="0.2">
      <c r="A106" s="143"/>
      <c r="B106" s="48" t="s">
        <v>120</v>
      </c>
      <c r="C106" s="54"/>
      <c r="D106" s="119"/>
      <c r="E106" s="113"/>
      <c r="F106" s="180"/>
    </row>
    <row r="107" spans="1:6" s="38" customFormat="1" x14ac:dyDescent="0.2">
      <c r="A107" s="25"/>
      <c r="B107" s="320" t="s">
        <v>122</v>
      </c>
      <c r="C107" s="54"/>
      <c r="D107" s="119"/>
      <c r="E107" s="113"/>
      <c r="F107" s="180"/>
    </row>
    <row r="108" spans="1:6" s="38" customFormat="1" ht="25.5" x14ac:dyDescent="0.2">
      <c r="A108" s="25"/>
      <c r="B108" s="209" t="s">
        <v>124</v>
      </c>
      <c r="C108" s="54"/>
      <c r="D108" s="119"/>
      <c r="E108" s="113"/>
      <c r="F108" s="180"/>
    </row>
    <row r="109" spans="1:6" s="38" customFormat="1" x14ac:dyDescent="0.2">
      <c r="A109" s="25"/>
      <c r="B109" s="320" t="s">
        <v>126</v>
      </c>
      <c r="C109" s="54"/>
      <c r="D109" s="119"/>
      <c r="E109" s="113"/>
      <c r="F109" s="180"/>
    </row>
    <row r="110" spans="1:6" s="38" customFormat="1" x14ac:dyDescent="0.2">
      <c r="A110" s="25"/>
      <c r="B110" s="320" t="s">
        <v>128</v>
      </c>
      <c r="C110" s="54"/>
      <c r="D110" s="119"/>
      <c r="E110" s="58"/>
      <c r="F110" s="180"/>
    </row>
    <row r="111" spans="1:6" s="38" customFormat="1" ht="15" x14ac:dyDescent="0.25">
      <c r="A111" s="25"/>
      <c r="B111" s="320" t="s">
        <v>130</v>
      </c>
      <c r="C111" s="47"/>
      <c r="D111" s="119"/>
      <c r="E111" s="113"/>
      <c r="F111" s="180"/>
    </row>
    <row r="112" spans="1:6" s="38" customFormat="1" x14ac:dyDescent="0.2">
      <c r="A112" s="25"/>
      <c r="B112" s="320" t="s">
        <v>280</v>
      </c>
      <c r="C112" s="54"/>
      <c r="D112" s="119"/>
      <c r="E112" s="58"/>
      <c r="F112" s="180"/>
    </row>
    <row r="113" spans="1:6" s="38" customFormat="1" x14ac:dyDescent="0.2">
      <c r="A113" s="25"/>
      <c r="B113" s="320" t="s">
        <v>133</v>
      </c>
      <c r="C113" s="54"/>
      <c r="D113" s="119"/>
      <c r="E113" s="58"/>
      <c r="F113" s="180"/>
    </row>
    <row r="114" spans="1:6" s="141" customFormat="1" ht="13.5" customHeight="1" x14ac:dyDescent="0.2">
      <c r="A114" s="25"/>
      <c r="B114" s="208" t="s">
        <v>134</v>
      </c>
      <c r="C114" s="54"/>
      <c r="D114" s="119"/>
      <c r="E114" s="113"/>
      <c r="F114" s="180"/>
    </row>
    <row r="115" spans="1:6" s="141" customFormat="1" ht="13.5" customHeight="1" x14ac:dyDescent="0.2">
      <c r="A115" s="25"/>
      <c r="B115" s="208" t="s">
        <v>135</v>
      </c>
      <c r="C115" s="54"/>
      <c r="D115" s="119"/>
      <c r="E115" s="113"/>
      <c r="F115" s="180"/>
    </row>
    <row r="116" spans="1:6" s="141" customFormat="1" ht="25.5" x14ac:dyDescent="0.2">
      <c r="A116" s="25"/>
      <c r="B116" s="208" t="s">
        <v>136</v>
      </c>
      <c r="C116" s="54"/>
      <c r="D116" s="119"/>
      <c r="E116" s="113"/>
      <c r="F116" s="180"/>
    </row>
    <row r="117" spans="1:6" s="38" customFormat="1" x14ac:dyDescent="0.2">
      <c r="A117" s="25"/>
      <c r="B117" s="205" t="s">
        <v>137</v>
      </c>
      <c r="C117" s="54"/>
      <c r="D117" s="119"/>
      <c r="E117" s="113"/>
      <c r="F117" s="180"/>
    </row>
    <row r="118" spans="1:6" s="38" customFormat="1" x14ac:dyDescent="0.2">
      <c r="A118" s="25"/>
      <c r="B118" s="205" t="s">
        <v>138</v>
      </c>
      <c r="C118" s="54"/>
      <c r="D118" s="119"/>
      <c r="E118" s="113"/>
      <c r="F118" s="180"/>
    </row>
    <row r="119" spans="1:6" s="38" customFormat="1" x14ac:dyDescent="0.2">
      <c r="A119" s="25"/>
      <c r="B119" s="48" t="s">
        <v>139</v>
      </c>
      <c r="C119" s="54"/>
      <c r="D119" s="119"/>
      <c r="E119" s="113"/>
      <c r="F119" s="180"/>
    </row>
    <row r="120" spans="1:6" s="38" customFormat="1" x14ac:dyDescent="0.2">
      <c r="A120" s="25"/>
      <c r="B120" s="48" t="s">
        <v>140</v>
      </c>
      <c r="C120" s="54"/>
      <c r="D120" s="119"/>
      <c r="E120" s="113"/>
      <c r="F120" s="180"/>
    </row>
    <row r="121" spans="1:6" s="38" customFormat="1" x14ac:dyDescent="0.2">
      <c r="A121" s="25"/>
      <c r="B121" s="48" t="s">
        <v>141</v>
      </c>
      <c r="C121" s="54"/>
      <c r="D121" s="119"/>
      <c r="E121" s="113"/>
      <c r="F121" s="180"/>
    </row>
    <row r="122" spans="1:6" s="38" customFormat="1" x14ac:dyDescent="0.2">
      <c r="A122" s="25"/>
      <c r="B122" s="48" t="s">
        <v>142</v>
      </c>
      <c r="C122" s="54"/>
      <c r="D122" s="119"/>
      <c r="E122" s="113"/>
      <c r="F122" s="180"/>
    </row>
    <row r="123" spans="1:6" s="38" customFormat="1" x14ac:dyDescent="0.2">
      <c r="A123" s="25"/>
      <c r="B123" s="205" t="s">
        <v>143</v>
      </c>
      <c r="C123" s="54"/>
      <c r="D123" s="119"/>
      <c r="E123" s="113"/>
      <c r="F123" s="180"/>
    </row>
    <row r="124" spans="1:6" s="38" customFormat="1" x14ac:dyDescent="0.2">
      <c r="A124" s="25"/>
      <c r="B124" s="48" t="s">
        <v>144</v>
      </c>
      <c r="C124" s="54"/>
      <c r="D124" s="119"/>
      <c r="E124" s="113"/>
      <c r="F124" s="180"/>
    </row>
    <row r="125" spans="1:6" s="38" customFormat="1" ht="38.25" x14ac:dyDescent="0.2">
      <c r="A125" s="25"/>
      <c r="B125" s="205" t="s">
        <v>145</v>
      </c>
      <c r="C125" s="54"/>
      <c r="D125" s="119"/>
      <c r="E125" s="113"/>
      <c r="F125" s="180"/>
    </row>
    <row r="126" spans="1:6" s="38" customFormat="1" x14ac:dyDescent="0.2">
      <c r="A126" s="25"/>
      <c r="B126" s="205" t="s">
        <v>146</v>
      </c>
      <c r="C126" s="54"/>
      <c r="D126" s="119"/>
      <c r="E126" s="113"/>
      <c r="F126" s="180"/>
    </row>
    <row r="127" spans="1:6" s="38" customFormat="1" x14ac:dyDescent="0.2">
      <c r="A127" s="25"/>
      <c r="B127" s="205" t="s">
        <v>147</v>
      </c>
      <c r="C127" s="54"/>
      <c r="D127" s="119"/>
      <c r="E127" s="113"/>
      <c r="F127" s="180"/>
    </row>
    <row r="128" spans="1:6" s="38" customFormat="1" x14ac:dyDescent="0.2">
      <c r="A128" s="25"/>
      <c r="B128" s="205" t="s">
        <v>148</v>
      </c>
      <c r="C128" s="54"/>
      <c r="D128" s="119"/>
      <c r="E128" s="113"/>
      <c r="F128" s="180"/>
    </row>
    <row r="129" spans="1:8" s="53" customFormat="1" x14ac:dyDescent="0.2">
      <c r="A129" s="25"/>
      <c r="B129" s="205" t="s">
        <v>149</v>
      </c>
      <c r="C129" s="54"/>
      <c r="D129" s="119"/>
      <c r="E129" s="113"/>
      <c r="F129" s="180"/>
    </row>
    <row r="130" spans="1:8" s="38" customFormat="1" x14ac:dyDescent="0.2">
      <c r="A130" s="25"/>
      <c r="B130" s="205" t="s">
        <v>150</v>
      </c>
      <c r="C130" s="54"/>
      <c r="D130" s="119"/>
      <c r="E130" s="113"/>
      <c r="F130" s="180"/>
    </row>
    <row r="131" spans="1:8" s="38" customFormat="1" x14ac:dyDescent="0.2">
      <c r="A131" s="25"/>
      <c r="B131" s="205" t="s">
        <v>151</v>
      </c>
      <c r="C131" s="54">
        <v>1</v>
      </c>
      <c r="D131" s="119">
        <f>C131*10000</f>
        <v>10000</v>
      </c>
      <c r="E131" s="113"/>
      <c r="F131" s="180"/>
    </row>
    <row r="132" spans="1:8" s="38" customFormat="1" ht="13.5" thickBot="1" x14ac:dyDescent="0.25">
      <c r="A132" s="181"/>
      <c r="B132" s="182" t="s">
        <v>152</v>
      </c>
      <c r="C132" s="200">
        <v>5</v>
      </c>
      <c r="D132" s="184">
        <f>C132*40000</f>
        <v>200000</v>
      </c>
      <c r="E132" s="196"/>
      <c r="F132" s="186"/>
    </row>
    <row r="133" spans="1:8" ht="13.5" thickBot="1" x14ac:dyDescent="0.25">
      <c r="A133" s="99"/>
      <c r="B133" s="258" t="s">
        <v>160</v>
      </c>
      <c r="C133" s="107">
        <f>SUM(C94:C132)</f>
        <v>6</v>
      </c>
      <c r="D133" s="107">
        <f>SUM(D94:D132)</f>
        <v>210000</v>
      </c>
      <c r="E133" s="107">
        <f>SUM(E94:E132)</f>
        <v>0</v>
      </c>
      <c r="F133" s="107">
        <f>SUM(F94:F132)</f>
        <v>0</v>
      </c>
      <c r="H133" s="5"/>
    </row>
    <row r="134" spans="1:8" s="38" customFormat="1" x14ac:dyDescent="0.2">
      <c r="A134" s="210" t="s">
        <v>11</v>
      </c>
      <c r="B134" s="211" t="s">
        <v>153</v>
      </c>
      <c r="C134" s="213"/>
      <c r="D134" s="178"/>
      <c r="E134" s="213"/>
      <c r="F134" s="214"/>
    </row>
    <row r="135" spans="1:8" s="38" customFormat="1" x14ac:dyDescent="0.2">
      <c r="A135" s="25"/>
      <c r="B135" s="205" t="s">
        <v>163</v>
      </c>
      <c r="C135" s="54">
        <v>3</v>
      </c>
      <c r="D135" s="119">
        <v>15500</v>
      </c>
      <c r="E135" s="113"/>
      <c r="F135" s="180"/>
    </row>
    <row r="136" spans="1:8" s="38" customFormat="1" x14ac:dyDescent="0.2">
      <c r="A136" s="25"/>
      <c r="B136" s="205" t="s">
        <v>164</v>
      </c>
      <c r="C136" s="54"/>
      <c r="D136" s="119"/>
      <c r="E136" s="113"/>
      <c r="F136" s="180"/>
    </row>
    <row r="137" spans="1:8" s="38" customFormat="1" x14ac:dyDescent="0.2">
      <c r="A137" s="25"/>
      <c r="B137" s="205" t="s">
        <v>165</v>
      </c>
      <c r="C137" s="54"/>
      <c r="D137" s="119"/>
      <c r="E137" s="113"/>
      <c r="F137" s="180"/>
    </row>
    <row r="138" spans="1:8" s="38" customFormat="1" ht="15" x14ac:dyDescent="0.25">
      <c r="A138" s="25"/>
      <c r="B138" s="205" t="s">
        <v>166</v>
      </c>
      <c r="C138" s="47">
        <v>31</v>
      </c>
      <c r="D138" s="47">
        <v>52500</v>
      </c>
      <c r="E138" s="113"/>
      <c r="F138" s="180"/>
    </row>
    <row r="139" spans="1:8" s="38" customFormat="1" x14ac:dyDescent="0.2">
      <c r="A139" s="25"/>
      <c r="B139" s="205" t="s">
        <v>167</v>
      </c>
      <c r="C139" s="54"/>
      <c r="D139" s="119"/>
      <c r="E139" s="113"/>
      <c r="F139" s="180"/>
    </row>
    <row r="140" spans="1:8" s="38" customFormat="1" x14ac:dyDescent="0.2">
      <c r="A140" s="25"/>
      <c r="B140" s="40" t="s">
        <v>168</v>
      </c>
      <c r="C140" s="54"/>
      <c r="D140" s="119"/>
      <c r="E140" s="113"/>
      <c r="F140" s="180"/>
    </row>
    <row r="141" spans="1:8" s="38" customFormat="1" ht="15" x14ac:dyDescent="0.25">
      <c r="A141" s="25"/>
      <c r="B141" s="40" t="s">
        <v>169</v>
      </c>
      <c r="C141" s="47">
        <v>4</v>
      </c>
      <c r="D141" s="47">
        <v>55000</v>
      </c>
      <c r="E141" s="113"/>
      <c r="F141" s="180"/>
    </row>
    <row r="142" spans="1:8" s="38" customFormat="1" x14ac:dyDescent="0.2">
      <c r="A142" s="25"/>
      <c r="B142" s="40" t="s">
        <v>170</v>
      </c>
      <c r="C142" s="54">
        <v>2</v>
      </c>
      <c r="D142" s="119">
        <v>30000</v>
      </c>
      <c r="E142" s="113"/>
      <c r="F142" s="180"/>
    </row>
    <row r="143" spans="1:8" s="38" customFormat="1" x14ac:dyDescent="0.2">
      <c r="A143" s="25"/>
      <c r="B143" s="40" t="s">
        <v>277</v>
      </c>
      <c r="C143" s="54"/>
      <c r="D143" s="119"/>
      <c r="E143" s="113"/>
      <c r="F143" s="180"/>
    </row>
    <row r="144" spans="1:8" s="38" customFormat="1" x14ac:dyDescent="0.2">
      <c r="A144" s="25"/>
      <c r="B144" s="40" t="s">
        <v>278</v>
      </c>
      <c r="C144" s="54"/>
      <c r="D144" s="119"/>
      <c r="E144" s="113"/>
      <c r="F144" s="180"/>
    </row>
    <row r="145" spans="1:6" s="38" customFormat="1" x14ac:dyDescent="0.2">
      <c r="A145" s="25"/>
      <c r="B145" s="40" t="s">
        <v>171</v>
      </c>
      <c r="C145" s="54"/>
      <c r="D145" s="119"/>
      <c r="E145" s="113"/>
      <c r="F145" s="180"/>
    </row>
    <row r="146" spans="1:6" s="38" customFormat="1" x14ac:dyDescent="0.2">
      <c r="A146" s="25"/>
      <c r="B146" s="24" t="s">
        <v>172</v>
      </c>
      <c r="C146" s="54">
        <v>2</v>
      </c>
      <c r="D146" s="119">
        <v>18000</v>
      </c>
      <c r="E146" s="113"/>
      <c r="F146" s="180"/>
    </row>
    <row r="147" spans="1:6" s="38" customFormat="1" x14ac:dyDescent="0.2">
      <c r="A147" s="25"/>
      <c r="B147" s="40" t="s">
        <v>173</v>
      </c>
      <c r="C147" s="54">
        <v>2</v>
      </c>
      <c r="D147" s="119">
        <v>10000</v>
      </c>
      <c r="E147" s="113"/>
      <c r="F147" s="180"/>
    </row>
    <row r="148" spans="1:6" s="38" customFormat="1" ht="15" x14ac:dyDescent="0.25">
      <c r="A148" s="25"/>
      <c r="B148" s="40" t="s">
        <v>174</v>
      </c>
      <c r="C148" s="47">
        <v>1</v>
      </c>
      <c r="D148" s="47">
        <v>3000</v>
      </c>
      <c r="E148" s="113"/>
      <c r="F148" s="180"/>
    </row>
    <row r="149" spans="1:6" s="38" customFormat="1" x14ac:dyDescent="0.2">
      <c r="A149" s="25"/>
      <c r="B149" s="40" t="s">
        <v>175</v>
      </c>
      <c r="C149" s="54"/>
      <c r="D149" s="119"/>
      <c r="E149" s="113"/>
      <c r="F149" s="180"/>
    </row>
    <row r="150" spans="1:6" s="38" customFormat="1" ht="27.75" customHeight="1" x14ac:dyDescent="0.2">
      <c r="A150" s="25"/>
      <c r="B150" s="40" t="s">
        <v>176</v>
      </c>
      <c r="C150" s="54"/>
      <c r="D150" s="119"/>
      <c r="E150" s="113"/>
      <c r="F150" s="180"/>
    </row>
    <row r="151" spans="1:6" s="38" customFormat="1" x14ac:dyDescent="0.2">
      <c r="A151" s="25"/>
      <c r="B151" s="321" t="s">
        <v>177</v>
      </c>
      <c r="C151" s="54"/>
      <c r="D151" s="119"/>
      <c r="E151" s="113"/>
      <c r="F151" s="180"/>
    </row>
    <row r="152" spans="1:6" s="38" customFormat="1" x14ac:dyDescent="0.2">
      <c r="A152" s="25"/>
      <c r="B152" s="144" t="s">
        <v>178</v>
      </c>
      <c r="C152" s="54"/>
      <c r="D152" s="119"/>
      <c r="E152" s="113"/>
      <c r="F152" s="180"/>
    </row>
    <row r="153" spans="1:6" s="38" customFormat="1" x14ac:dyDescent="0.2">
      <c r="A153" s="25"/>
      <c r="B153" s="319" t="s">
        <v>179</v>
      </c>
      <c r="C153" s="54"/>
      <c r="D153" s="119"/>
      <c r="E153" s="58"/>
      <c r="F153" s="180"/>
    </row>
    <row r="154" spans="1:6" s="38" customFormat="1" ht="25.5" x14ac:dyDescent="0.2">
      <c r="A154" s="25"/>
      <c r="B154" s="24" t="s">
        <v>180</v>
      </c>
      <c r="C154" s="54"/>
      <c r="D154" s="119"/>
      <c r="E154" s="58"/>
      <c r="F154" s="180"/>
    </row>
    <row r="155" spans="1:6" s="38" customFormat="1" x14ac:dyDescent="0.2">
      <c r="A155" s="25"/>
      <c r="B155" s="24" t="s">
        <v>181</v>
      </c>
      <c r="C155" s="54"/>
      <c r="D155" s="119"/>
      <c r="E155" s="58"/>
      <c r="F155" s="180"/>
    </row>
    <row r="156" spans="1:6" s="38" customFormat="1" x14ac:dyDescent="0.2">
      <c r="A156" s="25"/>
      <c r="B156" s="24" t="s">
        <v>182</v>
      </c>
      <c r="C156" s="54"/>
      <c r="D156" s="119"/>
      <c r="E156" s="58"/>
      <c r="F156" s="180"/>
    </row>
    <row r="157" spans="1:6" s="38" customFormat="1" x14ac:dyDescent="0.2">
      <c r="A157" s="25"/>
      <c r="B157" s="24" t="s">
        <v>183</v>
      </c>
      <c r="C157" s="54"/>
      <c r="D157" s="119"/>
      <c r="E157" s="58"/>
      <c r="F157" s="180"/>
    </row>
    <row r="158" spans="1:6" s="38" customFormat="1" x14ac:dyDescent="0.2">
      <c r="A158" s="25"/>
      <c r="B158" s="24" t="s">
        <v>184</v>
      </c>
      <c r="C158" s="54"/>
      <c r="D158" s="119"/>
      <c r="E158" s="58"/>
      <c r="F158" s="180"/>
    </row>
    <row r="159" spans="1:6" s="38" customFormat="1" ht="25.5" x14ac:dyDescent="0.2">
      <c r="A159" s="25"/>
      <c r="B159" s="24" t="s">
        <v>185</v>
      </c>
      <c r="C159" s="54"/>
      <c r="D159" s="119"/>
      <c r="E159" s="58"/>
      <c r="F159" s="180"/>
    </row>
    <row r="160" spans="1:6" s="38" customFormat="1" x14ac:dyDescent="0.2">
      <c r="A160" s="25"/>
      <c r="B160" s="319" t="s">
        <v>186</v>
      </c>
      <c r="C160" s="54"/>
      <c r="D160" s="119"/>
      <c r="E160" s="58"/>
      <c r="F160" s="180"/>
    </row>
    <row r="161" spans="1:8" s="38" customFormat="1" x14ac:dyDescent="0.2">
      <c r="A161" s="25"/>
      <c r="B161" s="24" t="s">
        <v>187</v>
      </c>
      <c r="C161" s="54"/>
      <c r="D161" s="119"/>
      <c r="E161" s="58"/>
      <c r="F161" s="180"/>
    </row>
    <row r="162" spans="1:8" s="38" customFormat="1" x14ac:dyDescent="0.2">
      <c r="A162" s="25"/>
      <c r="B162" s="24" t="s">
        <v>188</v>
      </c>
      <c r="C162" s="54"/>
      <c r="D162" s="119"/>
      <c r="E162" s="58"/>
      <c r="F162" s="180"/>
    </row>
    <row r="163" spans="1:8" s="38" customFormat="1" x14ac:dyDescent="0.2">
      <c r="A163" s="25"/>
      <c r="B163" s="24" t="s">
        <v>189</v>
      </c>
      <c r="C163" s="54"/>
      <c r="D163" s="119"/>
      <c r="E163" s="58"/>
      <c r="F163" s="180"/>
    </row>
    <row r="164" spans="1:8" s="38" customFormat="1" x14ac:dyDescent="0.2">
      <c r="A164" s="25"/>
      <c r="B164" s="40" t="s">
        <v>190</v>
      </c>
      <c r="C164" s="54"/>
      <c r="D164" s="119"/>
      <c r="E164" s="113"/>
      <c r="F164" s="180"/>
    </row>
    <row r="165" spans="1:8" s="38" customFormat="1" x14ac:dyDescent="0.2">
      <c r="A165" s="25"/>
      <c r="B165" s="24" t="s">
        <v>191</v>
      </c>
      <c r="C165" s="54">
        <v>10</v>
      </c>
      <c r="D165" s="119">
        <v>85000</v>
      </c>
      <c r="E165" s="113"/>
      <c r="F165" s="180"/>
    </row>
    <row r="166" spans="1:8" ht="13.5" thickBot="1" x14ac:dyDescent="0.25">
      <c r="A166" s="101"/>
      <c r="B166" s="100" t="s">
        <v>161</v>
      </c>
      <c r="C166" s="102">
        <f>SUM(C135:C165)</f>
        <v>55</v>
      </c>
      <c r="D166" s="102">
        <f>SUM(D135:D165)</f>
        <v>269000</v>
      </c>
      <c r="E166" s="102">
        <f>SUM(E135:E165)</f>
        <v>0</v>
      </c>
      <c r="F166" s="102">
        <f>SUM(F135:F165)</f>
        <v>0</v>
      </c>
      <c r="H166" s="5"/>
    </row>
    <row r="167" spans="1:8" s="38" customFormat="1" ht="13.5" thickBot="1" x14ac:dyDescent="0.25">
      <c r="A167" s="27"/>
      <c r="B167" s="155"/>
      <c r="C167" s="109"/>
      <c r="D167" s="21"/>
      <c r="E167" s="109"/>
      <c r="F167" s="154"/>
    </row>
    <row r="168" spans="1:8" ht="16.5" thickBot="1" x14ac:dyDescent="0.3">
      <c r="A168" s="148"/>
      <c r="B168" s="151" t="s">
        <v>162</v>
      </c>
      <c r="C168" s="150">
        <f>C12+C48+C60+C73+C77+C92+C133+C166</f>
        <v>263</v>
      </c>
      <c r="D168" s="150">
        <f>D12+D48+D60+D73+D77+D92+D133+D166</f>
        <v>4573500</v>
      </c>
      <c r="E168" s="150">
        <f>E12+E48+E60+E73+E77+E92+E133+E166</f>
        <v>0</v>
      </c>
      <c r="F168" s="150">
        <f>F12+F48+F60+F73+F77+F92+F133+F166</f>
        <v>0</v>
      </c>
      <c r="H168" s="5"/>
    </row>
    <row r="172" spans="1:8" x14ac:dyDescent="0.2">
      <c r="H172" s="5"/>
    </row>
    <row r="173" spans="1:8" x14ac:dyDescent="0.2">
      <c r="H173" s="5"/>
    </row>
    <row r="182" spans="1:4" x14ac:dyDescent="0.2">
      <c r="A182" s="5"/>
      <c r="B182" s="5"/>
      <c r="C182" s="5"/>
      <c r="D182" s="5"/>
    </row>
    <row r="183" spans="1:4" x14ac:dyDescent="0.2">
      <c r="A183" s="5"/>
      <c r="B183" s="5"/>
      <c r="C183" s="5"/>
      <c r="D183" s="5"/>
    </row>
  </sheetData>
  <mergeCells count="4">
    <mergeCell ref="C4:D4"/>
    <mergeCell ref="E4:F4"/>
    <mergeCell ref="C3:D3"/>
    <mergeCell ref="E3:F3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G172"/>
  <sheetViews>
    <sheetView zoomScale="115" zoomScaleNormal="115" workbookViewId="0">
      <pane xSplit="2" ySplit="4" topLeftCell="C125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70.140625" style="9" customWidth="1"/>
    <col min="3" max="3" width="8.85546875" style="12" customWidth="1"/>
    <col min="4" max="4" width="14.28515625" style="13" customWidth="1"/>
    <col min="5" max="5" width="12.140625" style="5" customWidth="1"/>
    <col min="6" max="6" width="14.7109375" style="5" customWidth="1"/>
    <col min="8" max="16384" width="9.140625" style="5"/>
  </cols>
  <sheetData>
    <row r="1" spans="1:7" ht="14.45" customHeight="1" x14ac:dyDescent="0.2">
      <c r="A1" s="1"/>
      <c r="B1" s="14" t="s">
        <v>55</v>
      </c>
      <c r="C1" s="4"/>
      <c r="D1" s="3"/>
      <c r="G1" s="5"/>
    </row>
    <row r="2" spans="1:7" ht="14.45" customHeight="1" thickBot="1" x14ac:dyDescent="0.25">
      <c r="A2" s="1"/>
      <c r="B2" s="2"/>
      <c r="C2" s="4"/>
      <c r="D2" s="3"/>
      <c r="F2" s="17" t="s">
        <v>236</v>
      </c>
      <c r="G2" s="5"/>
    </row>
    <row r="3" spans="1:7" s="6" customFormat="1" ht="19.5" customHeight="1" thickBot="1" x14ac:dyDescent="0.3">
      <c r="A3" s="70"/>
      <c r="B3" s="71"/>
      <c r="C3" s="77" t="s">
        <v>56</v>
      </c>
      <c r="D3" s="81"/>
      <c r="E3" s="401" t="s">
        <v>56</v>
      </c>
      <c r="F3" s="400"/>
      <c r="G3" s="50" t="s">
        <v>60</v>
      </c>
    </row>
    <row r="4" spans="1:7" s="6" customFormat="1" ht="33.75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50"/>
    </row>
    <row r="5" spans="1:7" s="7" customFormat="1" ht="35.25" customHeight="1" thickBot="1" x14ac:dyDescent="0.25">
      <c r="A5" s="257" t="s">
        <v>62</v>
      </c>
      <c r="B5" s="257" t="s">
        <v>63</v>
      </c>
      <c r="C5" s="162" t="s">
        <v>57</v>
      </c>
      <c r="D5" s="158" t="s">
        <v>58</v>
      </c>
      <c r="E5" s="162" t="s">
        <v>57</v>
      </c>
      <c r="F5" s="158" t="s">
        <v>58</v>
      </c>
      <c r="G5" s="51"/>
    </row>
    <row r="6" spans="1:7" s="9" customFormat="1" x14ac:dyDescent="0.2">
      <c r="A6" s="175" t="s">
        <v>2</v>
      </c>
      <c r="B6" s="176" t="s">
        <v>3</v>
      </c>
      <c r="C6" s="177"/>
      <c r="D6" s="178"/>
      <c r="E6" s="177"/>
      <c r="F6" s="179"/>
    </row>
    <row r="7" spans="1:7" x14ac:dyDescent="0.2">
      <c r="A7" s="25"/>
      <c r="B7" s="48" t="s">
        <v>18</v>
      </c>
      <c r="C7" s="54"/>
      <c r="D7" s="119"/>
      <c r="E7" s="113"/>
      <c r="F7" s="180"/>
      <c r="G7" s="5"/>
    </row>
    <row r="8" spans="1:7" x14ac:dyDescent="0.2">
      <c r="A8" s="25"/>
      <c r="B8" s="48" t="s">
        <v>4</v>
      </c>
      <c r="C8" s="54"/>
      <c r="D8" s="119"/>
      <c r="E8" s="58"/>
      <c r="F8" s="180"/>
      <c r="G8" s="5"/>
    </row>
    <row r="9" spans="1:7" x14ac:dyDescent="0.2">
      <c r="A9" s="25"/>
      <c r="B9" s="48" t="s">
        <v>17</v>
      </c>
      <c r="C9" s="54"/>
      <c r="D9" s="119"/>
      <c r="E9" s="113"/>
      <c r="F9" s="180"/>
      <c r="G9" s="5"/>
    </row>
    <row r="10" spans="1:7" s="9" customFormat="1" x14ac:dyDescent="0.2">
      <c r="A10" s="25"/>
      <c r="B10" s="48" t="s">
        <v>15</v>
      </c>
      <c r="C10" s="54">
        <v>1</v>
      </c>
      <c r="D10" s="119">
        <v>260000</v>
      </c>
      <c r="E10" s="113"/>
      <c r="F10" s="180"/>
    </row>
    <row r="11" spans="1:7" s="9" customFormat="1" ht="13.5" thickBot="1" x14ac:dyDescent="0.25">
      <c r="A11" s="181"/>
      <c r="B11" s="182" t="s">
        <v>16</v>
      </c>
      <c r="C11" s="200">
        <v>2</v>
      </c>
      <c r="D11" s="184">
        <v>400000</v>
      </c>
      <c r="E11" s="196"/>
      <c r="F11" s="186"/>
    </row>
    <row r="12" spans="1:7" s="9" customFormat="1" x14ac:dyDescent="0.2">
      <c r="A12" s="304"/>
      <c r="B12" s="305" t="s">
        <v>155</v>
      </c>
      <c r="C12" s="306">
        <f>SUM(C7:C11)</f>
        <v>3</v>
      </c>
      <c r="D12" s="306">
        <f>SUM(D7:D11)</f>
        <v>660000</v>
      </c>
      <c r="E12" s="306">
        <f>SUM(E7:E11)</f>
        <v>0</v>
      </c>
      <c r="F12" s="306">
        <f>SUM(F7:F11)</f>
        <v>0</v>
      </c>
    </row>
    <row r="13" spans="1:7" s="52" customFormat="1" x14ac:dyDescent="0.2">
      <c r="A13" s="57" t="s">
        <v>5</v>
      </c>
      <c r="B13" s="112" t="s">
        <v>89</v>
      </c>
      <c r="C13" s="112"/>
      <c r="D13" s="112"/>
      <c r="E13" s="112"/>
      <c r="F13" s="112"/>
    </row>
    <row r="14" spans="1:7" s="52" customFormat="1" x14ac:dyDescent="0.2">
      <c r="A14" s="57"/>
      <c r="B14" s="209" t="s">
        <v>19</v>
      </c>
      <c r="C14" s="54">
        <v>8</v>
      </c>
      <c r="D14" s="119">
        <f>3000*C14</f>
        <v>24000</v>
      </c>
      <c r="E14" s="58"/>
      <c r="F14" s="54"/>
    </row>
    <row r="15" spans="1:7" s="52" customFormat="1" x14ac:dyDescent="0.2">
      <c r="A15" s="57"/>
      <c r="B15" s="209" t="s">
        <v>20</v>
      </c>
      <c r="C15" s="54">
        <v>1</v>
      </c>
      <c r="D15" s="119">
        <f>11000*C15</f>
        <v>11000</v>
      </c>
      <c r="E15" s="113"/>
      <c r="F15" s="54"/>
    </row>
    <row r="16" spans="1:7" s="52" customFormat="1" x14ac:dyDescent="0.2">
      <c r="A16" s="57"/>
      <c r="B16" s="318" t="s">
        <v>21</v>
      </c>
      <c r="C16" s="54"/>
      <c r="D16" s="119"/>
      <c r="E16" s="113"/>
      <c r="F16" s="54"/>
    </row>
    <row r="17" spans="1:6" s="52" customFormat="1" x14ac:dyDescent="0.2">
      <c r="A17" s="57"/>
      <c r="B17" s="318" t="s">
        <v>23</v>
      </c>
      <c r="C17" s="54"/>
      <c r="D17" s="119"/>
      <c r="E17" s="113"/>
      <c r="F17" s="54"/>
    </row>
    <row r="18" spans="1:6" s="38" customFormat="1" x14ac:dyDescent="0.2">
      <c r="A18" s="57"/>
      <c r="B18" s="318" t="s">
        <v>24</v>
      </c>
      <c r="C18" s="54"/>
      <c r="D18" s="119"/>
      <c r="E18" s="113"/>
      <c r="F18" s="54"/>
    </row>
    <row r="19" spans="1:6" s="38" customFormat="1" x14ac:dyDescent="0.2">
      <c r="A19" s="57"/>
      <c r="B19" s="48" t="s">
        <v>25</v>
      </c>
      <c r="C19" s="54"/>
      <c r="D19" s="119"/>
      <c r="E19" s="113"/>
      <c r="F19" s="54"/>
    </row>
    <row r="20" spans="1:6" s="38" customFormat="1" x14ac:dyDescent="0.2">
      <c r="A20" s="57"/>
      <c r="B20" s="209" t="s">
        <v>26</v>
      </c>
      <c r="C20" s="54"/>
      <c r="D20" s="119"/>
      <c r="E20" s="113"/>
      <c r="F20" s="54"/>
    </row>
    <row r="21" spans="1:6" s="38" customFormat="1" x14ac:dyDescent="0.2">
      <c r="A21" s="57"/>
      <c r="B21" s="209" t="s">
        <v>27</v>
      </c>
      <c r="C21" s="54"/>
      <c r="D21" s="119"/>
      <c r="E21" s="113"/>
      <c r="F21" s="54"/>
    </row>
    <row r="22" spans="1:6" s="38" customFormat="1" x14ac:dyDescent="0.2">
      <c r="A22" s="57"/>
      <c r="B22" s="48" t="s">
        <v>28</v>
      </c>
      <c r="C22" s="54">
        <v>4</v>
      </c>
      <c r="D22" s="119">
        <f>4000*C22</f>
        <v>16000</v>
      </c>
      <c r="E22" s="58"/>
      <c r="F22" s="54"/>
    </row>
    <row r="23" spans="1:6" s="38" customFormat="1" x14ac:dyDescent="0.2">
      <c r="A23" s="57"/>
      <c r="B23" s="48" t="s">
        <v>29</v>
      </c>
      <c r="C23" s="54"/>
      <c r="D23" s="119"/>
      <c r="E23" s="58"/>
      <c r="F23" s="54"/>
    </row>
    <row r="24" spans="1:6" s="38" customFormat="1" x14ac:dyDescent="0.2">
      <c r="A24" s="57"/>
      <c r="B24" s="48" t="s">
        <v>30</v>
      </c>
      <c r="C24" s="54"/>
      <c r="D24" s="119"/>
      <c r="E24" s="58"/>
      <c r="F24" s="54"/>
    </row>
    <row r="25" spans="1:6" s="38" customFormat="1" x14ac:dyDescent="0.2">
      <c r="A25" s="57"/>
      <c r="B25" s="48" t="s">
        <v>31</v>
      </c>
      <c r="C25" s="54"/>
      <c r="D25" s="119"/>
      <c r="E25" s="58"/>
      <c r="F25" s="54"/>
    </row>
    <row r="26" spans="1:6" s="38" customFormat="1" x14ac:dyDescent="0.2">
      <c r="A26" s="57"/>
      <c r="B26" s="209" t="s">
        <v>32</v>
      </c>
      <c r="C26" s="54">
        <v>15</v>
      </c>
      <c r="D26" s="119">
        <f>C26*2500</f>
        <v>37500</v>
      </c>
      <c r="E26" s="58"/>
      <c r="F26" s="54"/>
    </row>
    <row r="27" spans="1:6" s="38" customFormat="1" x14ac:dyDescent="0.2">
      <c r="A27" s="57"/>
      <c r="B27" s="209" t="s">
        <v>33</v>
      </c>
      <c r="C27" s="54">
        <v>6</v>
      </c>
      <c r="D27" s="119">
        <f>C27*2500</f>
        <v>15000</v>
      </c>
      <c r="E27" s="113"/>
      <c r="F27" s="54"/>
    </row>
    <row r="28" spans="1:6" s="38" customFormat="1" x14ac:dyDescent="0.2">
      <c r="A28" s="57"/>
      <c r="B28" s="209" t="s">
        <v>35</v>
      </c>
      <c r="C28" s="54">
        <v>15</v>
      </c>
      <c r="D28" s="119">
        <f>C28*2000</f>
        <v>30000</v>
      </c>
      <c r="E28" s="113"/>
      <c r="F28" s="54"/>
    </row>
    <row r="29" spans="1:6" s="38" customFormat="1" x14ac:dyDescent="0.2">
      <c r="A29" s="57"/>
      <c r="B29" s="209" t="s">
        <v>36</v>
      </c>
      <c r="C29" s="54">
        <v>1</v>
      </c>
      <c r="D29" s="119">
        <f>C29*5000</f>
        <v>5000</v>
      </c>
      <c r="E29" s="113"/>
      <c r="F29" s="54"/>
    </row>
    <row r="30" spans="1:6" s="38" customFormat="1" x14ac:dyDescent="0.2">
      <c r="A30" s="57"/>
      <c r="B30" s="209" t="s">
        <v>37</v>
      </c>
      <c r="C30" s="54">
        <v>8</v>
      </c>
      <c r="D30" s="119">
        <f>C30*3000</f>
        <v>24000</v>
      </c>
      <c r="E30" s="113"/>
      <c r="F30" s="54"/>
    </row>
    <row r="31" spans="1:6" s="38" customFormat="1" x14ac:dyDescent="0.2">
      <c r="A31" s="57"/>
      <c r="B31" s="48" t="s">
        <v>38</v>
      </c>
      <c r="C31" s="54">
        <v>8</v>
      </c>
      <c r="D31" s="119">
        <f>C31*2500</f>
        <v>20000</v>
      </c>
      <c r="E31" s="113"/>
      <c r="F31" s="54"/>
    </row>
    <row r="32" spans="1:6" s="38" customFormat="1" x14ac:dyDescent="0.2">
      <c r="A32" s="57"/>
      <c r="B32" s="209" t="s">
        <v>39</v>
      </c>
      <c r="C32" s="54"/>
      <c r="D32" s="119">
        <f>C32*2000</f>
        <v>0</v>
      </c>
      <c r="E32" s="113"/>
      <c r="F32" s="54"/>
    </row>
    <row r="33" spans="1:7" s="38" customFormat="1" x14ac:dyDescent="0.2">
      <c r="A33" s="57"/>
      <c r="B33" s="209" t="s">
        <v>40</v>
      </c>
      <c r="C33" s="54"/>
      <c r="D33" s="119">
        <f>C33*3000</f>
        <v>0</v>
      </c>
      <c r="E33" s="113"/>
      <c r="F33" s="54"/>
    </row>
    <row r="34" spans="1:7" s="38" customFormat="1" x14ac:dyDescent="0.2">
      <c r="A34" s="57"/>
      <c r="B34" s="209" t="s">
        <v>41</v>
      </c>
      <c r="C34" s="54"/>
      <c r="D34" s="119">
        <f>C34*2500</f>
        <v>0</v>
      </c>
      <c r="E34" s="113"/>
      <c r="F34" s="54"/>
    </row>
    <row r="35" spans="1:7" s="38" customFormat="1" x14ac:dyDescent="0.2">
      <c r="A35" s="57"/>
      <c r="B35" s="209" t="s">
        <v>42</v>
      </c>
      <c r="C35" s="54"/>
      <c r="D35" s="119">
        <f>C35*2000</f>
        <v>0</v>
      </c>
      <c r="E35" s="113"/>
      <c r="F35" s="54"/>
    </row>
    <row r="36" spans="1:7" s="38" customFormat="1" x14ac:dyDescent="0.2">
      <c r="A36" s="57"/>
      <c r="B36" s="48" t="s">
        <v>43</v>
      </c>
      <c r="C36" s="54"/>
      <c r="D36" s="119">
        <f>C36*1200</f>
        <v>0</v>
      </c>
      <c r="E36" s="113"/>
      <c r="F36" s="54"/>
    </row>
    <row r="37" spans="1:7" s="38" customFormat="1" x14ac:dyDescent="0.2">
      <c r="A37" s="57"/>
      <c r="B37" s="48" t="s">
        <v>44</v>
      </c>
      <c r="C37" s="54"/>
      <c r="D37" s="119">
        <f>C37*2000</f>
        <v>0</v>
      </c>
      <c r="E37" s="58"/>
      <c r="F37" s="54"/>
    </row>
    <row r="38" spans="1:7" s="38" customFormat="1" x14ac:dyDescent="0.2">
      <c r="A38" s="57"/>
      <c r="B38" s="48" t="s">
        <v>45</v>
      </c>
      <c r="C38" s="54">
        <v>4</v>
      </c>
      <c r="D38" s="119">
        <f>C38*7500</f>
        <v>30000</v>
      </c>
      <c r="E38" s="113"/>
      <c r="F38" s="54"/>
    </row>
    <row r="39" spans="1:7" s="38" customFormat="1" x14ac:dyDescent="0.2">
      <c r="A39" s="57"/>
      <c r="B39" s="48" t="s">
        <v>46</v>
      </c>
      <c r="C39" s="54"/>
      <c r="D39" s="119">
        <f>C39*9000</f>
        <v>0</v>
      </c>
      <c r="E39" s="113"/>
      <c r="F39" s="54"/>
    </row>
    <row r="40" spans="1:7" s="38" customFormat="1" x14ac:dyDescent="0.2">
      <c r="A40" s="57"/>
      <c r="B40" s="209" t="s">
        <v>47</v>
      </c>
      <c r="C40" s="54"/>
      <c r="D40" s="119"/>
      <c r="E40" s="113"/>
      <c r="F40" s="54"/>
    </row>
    <row r="41" spans="1:7" s="38" customFormat="1" x14ac:dyDescent="0.2">
      <c r="A41" s="57"/>
      <c r="B41" s="209" t="s">
        <v>48</v>
      </c>
      <c r="C41" s="54"/>
      <c r="D41" s="119"/>
      <c r="E41" s="113"/>
      <c r="F41" s="54"/>
    </row>
    <row r="42" spans="1:7" s="38" customFormat="1" x14ac:dyDescent="0.2">
      <c r="A42" s="57"/>
      <c r="B42" s="48" t="s">
        <v>49</v>
      </c>
      <c r="C42" s="54"/>
      <c r="D42" s="119"/>
      <c r="E42" s="113"/>
      <c r="F42" s="54"/>
    </row>
    <row r="43" spans="1:7" s="38" customFormat="1" x14ac:dyDescent="0.2">
      <c r="A43" s="57"/>
      <c r="B43" s="48" t="s">
        <v>50</v>
      </c>
      <c r="C43" s="54"/>
      <c r="D43" s="119">
        <f>C43*3000</f>
        <v>0</v>
      </c>
      <c r="E43" s="113"/>
      <c r="F43" s="54"/>
    </row>
    <row r="44" spans="1:7" s="38" customFormat="1" x14ac:dyDescent="0.2">
      <c r="A44" s="57"/>
      <c r="B44" s="48" t="s">
        <v>51</v>
      </c>
      <c r="C44" s="54"/>
      <c r="D44" s="119">
        <f>C44*4000</f>
        <v>0</v>
      </c>
      <c r="E44" s="113"/>
      <c r="F44" s="54"/>
    </row>
    <row r="45" spans="1:7" s="38" customFormat="1" x14ac:dyDescent="0.2">
      <c r="A45" s="57"/>
      <c r="B45" s="48" t="s">
        <v>52</v>
      </c>
      <c r="C45" s="54">
        <v>4</v>
      </c>
      <c r="D45" s="119">
        <f>C45*3000</f>
        <v>12000</v>
      </c>
      <c r="E45" s="113"/>
      <c r="F45" s="54"/>
    </row>
    <row r="46" spans="1:7" s="38" customFormat="1" x14ac:dyDescent="0.2">
      <c r="A46" s="57"/>
      <c r="B46" s="209" t="s">
        <v>53</v>
      </c>
      <c r="C46" s="54">
        <v>3</v>
      </c>
      <c r="D46" s="119">
        <f>C46*3000</f>
        <v>9000</v>
      </c>
      <c r="E46" s="113"/>
      <c r="F46" s="54"/>
    </row>
    <row r="47" spans="1:7" s="38" customFormat="1" x14ac:dyDescent="0.2">
      <c r="A47" s="57"/>
      <c r="B47" s="48" t="s">
        <v>54</v>
      </c>
      <c r="C47" s="54">
        <v>5</v>
      </c>
      <c r="D47" s="119">
        <f>C47*4500</f>
        <v>22500</v>
      </c>
      <c r="E47" s="113"/>
      <c r="F47" s="54"/>
    </row>
    <row r="48" spans="1:7" ht="13.5" thickBot="1" x14ac:dyDescent="0.25">
      <c r="A48" s="99"/>
      <c r="B48" s="258" t="s">
        <v>154</v>
      </c>
      <c r="C48" s="107">
        <f>SUM(C14:C47)</f>
        <v>82</v>
      </c>
      <c r="D48" s="107">
        <f t="shared" ref="D48:F48" si="0">SUM(D14:D47)</f>
        <v>256000</v>
      </c>
      <c r="E48" s="107">
        <f t="shared" si="0"/>
        <v>0</v>
      </c>
      <c r="F48" s="107">
        <f t="shared" si="0"/>
        <v>0</v>
      </c>
      <c r="G48" s="5"/>
    </row>
    <row r="49" spans="1:7" s="38" customFormat="1" x14ac:dyDescent="0.2">
      <c r="A49" s="175" t="s">
        <v>6</v>
      </c>
      <c r="B49" s="194" t="s">
        <v>61</v>
      </c>
      <c r="C49" s="177"/>
      <c r="D49" s="178"/>
      <c r="E49" s="177"/>
      <c r="F49" s="179"/>
    </row>
    <row r="50" spans="1:7" s="38" customFormat="1" x14ac:dyDescent="0.2">
      <c r="A50" s="25"/>
      <c r="B50" s="48" t="s">
        <v>64</v>
      </c>
      <c r="C50" s="54">
        <v>2</v>
      </c>
      <c r="D50" s="119">
        <f>C50*8000</f>
        <v>16000</v>
      </c>
      <c r="E50" s="113"/>
      <c r="F50" s="180"/>
    </row>
    <row r="51" spans="1:7" s="38" customFormat="1" x14ac:dyDescent="0.2">
      <c r="A51" s="25"/>
      <c r="B51" s="48" t="s">
        <v>65</v>
      </c>
      <c r="C51" s="54"/>
      <c r="D51" s="119">
        <f>C51*18000</f>
        <v>0</v>
      </c>
      <c r="E51" s="113"/>
      <c r="F51" s="180"/>
    </row>
    <row r="52" spans="1:7" s="38" customFormat="1" x14ac:dyDescent="0.2">
      <c r="A52" s="25"/>
      <c r="B52" s="193" t="s">
        <v>66</v>
      </c>
      <c r="C52" s="54"/>
      <c r="D52" s="119">
        <f>C52*3000</f>
        <v>0</v>
      </c>
      <c r="E52" s="113"/>
      <c r="F52" s="180"/>
    </row>
    <row r="53" spans="1:7" s="38" customFormat="1" x14ac:dyDescent="0.2">
      <c r="A53" s="25"/>
      <c r="B53" s="48" t="s">
        <v>67</v>
      </c>
      <c r="C53" s="54">
        <v>2</v>
      </c>
      <c r="D53" s="119">
        <f>C53*6000</f>
        <v>12000</v>
      </c>
      <c r="E53" s="113"/>
      <c r="F53" s="180"/>
    </row>
    <row r="54" spans="1:7" s="38" customFormat="1" x14ac:dyDescent="0.2">
      <c r="A54" s="25"/>
      <c r="B54" s="48" t="s">
        <v>68</v>
      </c>
      <c r="C54" s="54"/>
      <c r="D54" s="119"/>
      <c r="E54" s="113"/>
      <c r="F54" s="180"/>
    </row>
    <row r="55" spans="1:7" s="38" customFormat="1" x14ac:dyDescent="0.2">
      <c r="A55" s="143"/>
      <c r="B55" s="48" t="s">
        <v>69</v>
      </c>
      <c r="C55" s="54"/>
      <c r="D55" s="119"/>
      <c r="E55" s="113"/>
      <c r="F55" s="180"/>
    </row>
    <row r="56" spans="1:7" s="38" customFormat="1" x14ac:dyDescent="0.2">
      <c r="A56" s="143"/>
      <c r="B56" s="48" t="s">
        <v>70</v>
      </c>
      <c r="C56" s="54"/>
      <c r="D56" s="119"/>
      <c r="E56" s="113"/>
      <c r="F56" s="180"/>
    </row>
    <row r="57" spans="1:7" s="38" customFormat="1" x14ac:dyDescent="0.2">
      <c r="A57" s="143"/>
      <c r="B57" s="48" t="s">
        <v>71</v>
      </c>
      <c r="C57" s="54"/>
      <c r="D57" s="119"/>
      <c r="E57" s="113"/>
      <c r="F57" s="180"/>
    </row>
    <row r="58" spans="1:7" s="38" customFormat="1" x14ac:dyDescent="0.2">
      <c r="A58" s="143"/>
      <c r="B58" s="48" t="s">
        <v>72</v>
      </c>
      <c r="C58" s="54"/>
      <c r="D58" s="119"/>
      <c r="E58" s="113"/>
      <c r="F58" s="180"/>
    </row>
    <row r="59" spans="1:7" s="38" customFormat="1" ht="13.5" thickBot="1" x14ac:dyDescent="0.25">
      <c r="A59" s="195"/>
      <c r="B59" s="182" t="s">
        <v>73</v>
      </c>
      <c r="C59" s="200">
        <v>1</v>
      </c>
      <c r="D59" s="184">
        <f>420000+34500</f>
        <v>454500</v>
      </c>
      <c r="E59" s="196"/>
      <c r="F59" s="186"/>
    </row>
    <row r="60" spans="1:7" ht="13.5" thickBot="1" x14ac:dyDescent="0.25">
      <c r="A60" s="99"/>
      <c r="B60" s="258" t="s">
        <v>156</v>
      </c>
      <c r="C60" s="107">
        <f>SUM(C50:C59)</f>
        <v>5</v>
      </c>
      <c r="D60" s="107">
        <f>SUM(D50:D59)</f>
        <v>482500</v>
      </c>
      <c r="E60" s="107">
        <f>SUM(E50:E59)</f>
        <v>0</v>
      </c>
      <c r="F60" s="107">
        <f>SUM(F50:F59)</f>
        <v>0</v>
      </c>
      <c r="G60" s="5"/>
    </row>
    <row r="61" spans="1:7" x14ac:dyDescent="0.2">
      <c r="A61" s="175" t="s">
        <v>7</v>
      </c>
      <c r="B61" s="176" t="s">
        <v>74</v>
      </c>
      <c r="C61" s="177"/>
      <c r="D61" s="178"/>
      <c r="E61" s="177"/>
      <c r="F61" s="179"/>
      <c r="G61" s="5"/>
    </row>
    <row r="62" spans="1:7" s="38" customFormat="1" x14ac:dyDescent="0.2">
      <c r="A62" s="25"/>
      <c r="B62" s="135" t="s">
        <v>75</v>
      </c>
      <c r="C62" s="54"/>
      <c r="D62" s="119"/>
      <c r="E62" s="113"/>
      <c r="F62" s="180"/>
    </row>
    <row r="63" spans="1:7" s="38" customFormat="1" x14ac:dyDescent="0.2">
      <c r="A63" s="25"/>
      <c r="B63" s="135" t="s">
        <v>76</v>
      </c>
      <c r="C63" s="54"/>
      <c r="D63" s="119"/>
      <c r="E63" s="58"/>
      <c r="F63" s="180"/>
    </row>
    <row r="64" spans="1:7" s="38" customFormat="1" x14ac:dyDescent="0.2">
      <c r="A64" s="25"/>
      <c r="B64" s="135" t="s">
        <v>77</v>
      </c>
      <c r="C64" s="54"/>
      <c r="D64" s="119"/>
      <c r="E64" s="58"/>
      <c r="F64" s="180"/>
    </row>
    <row r="65" spans="1:7" s="38" customFormat="1" x14ac:dyDescent="0.2">
      <c r="A65" s="25"/>
      <c r="B65" s="135" t="s">
        <v>78</v>
      </c>
      <c r="C65" s="54">
        <v>2</v>
      </c>
      <c r="D65" s="119">
        <f>C65*2500</f>
        <v>5000</v>
      </c>
      <c r="E65" s="113"/>
      <c r="F65" s="180"/>
    </row>
    <row r="66" spans="1:7" s="38" customFormat="1" x14ac:dyDescent="0.2">
      <c r="A66" s="25"/>
      <c r="B66" s="135" t="s">
        <v>79</v>
      </c>
      <c r="C66" s="54"/>
      <c r="D66" s="119"/>
      <c r="E66" s="58"/>
      <c r="F66" s="180"/>
    </row>
    <row r="67" spans="1:7" s="38" customFormat="1" x14ac:dyDescent="0.2">
      <c r="A67" s="25"/>
      <c r="B67" s="135" t="s">
        <v>80</v>
      </c>
      <c r="C67" s="54"/>
      <c r="D67" s="119"/>
      <c r="E67" s="113"/>
      <c r="F67" s="180"/>
    </row>
    <row r="68" spans="1:7" s="38" customFormat="1" x14ac:dyDescent="0.2">
      <c r="A68" s="25"/>
      <c r="B68" s="135" t="s">
        <v>81</v>
      </c>
      <c r="C68" s="54"/>
      <c r="D68" s="119"/>
      <c r="E68" s="113"/>
      <c r="F68" s="180"/>
    </row>
    <row r="69" spans="1:7" s="38" customFormat="1" x14ac:dyDescent="0.2">
      <c r="A69" s="25"/>
      <c r="B69" s="135" t="s">
        <v>82</v>
      </c>
      <c r="C69" s="54"/>
      <c r="D69" s="119"/>
      <c r="E69" s="113"/>
      <c r="F69" s="180"/>
    </row>
    <row r="70" spans="1:7" s="38" customFormat="1" x14ac:dyDescent="0.2">
      <c r="A70" s="25"/>
      <c r="B70" s="135" t="s">
        <v>83</v>
      </c>
      <c r="C70" s="54"/>
      <c r="D70" s="119"/>
      <c r="E70" s="113"/>
      <c r="F70" s="180"/>
    </row>
    <row r="71" spans="1:7" s="38" customFormat="1" ht="15" x14ac:dyDescent="0.25">
      <c r="A71" s="25"/>
      <c r="B71" s="135" t="s">
        <v>84</v>
      </c>
      <c r="C71" s="47"/>
      <c r="D71" s="119"/>
      <c r="E71" s="113"/>
      <c r="F71" s="180"/>
    </row>
    <row r="72" spans="1:7" s="38" customFormat="1" ht="13.5" thickBot="1" x14ac:dyDescent="0.25">
      <c r="A72" s="181"/>
      <c r="B72" s="199" t="s">
        <v>85</v>
      </c>
      <c r="C72" s="200"/>
      <c r="D72" s="184"/>
      <c r="E72" s="196"/>
      <c r="F72" s="186"/>
    </row>
    <row r="73" spans="1:7" ht="13.5" thickBot="1" x14ac:dyDescent="0.25">
      <c r="A73" s="99"/>
      <c r="B73" s="258" t="s">
        <v>157</v>
      </c>
      <c r="C73" s="234">
        <f>SUM(C62:C72)</f>
        <v>2</v>
      </c>
      <c r="D73" s="234">
        <f t="shared" ref="D73:F73" si="1">SUM(D62:D72)</f>
        <v>5000</v>
      </c>
      <c r="E73" s="234">
        <f t="shared" si="1"/>
        <v>0</v>
      </c>
      <c r="F73" s="234">
        <f t="shared" si="1"/>
        <v>0</v>
      </c>
      <c r="G73" s="5"/>
    </row>
    <row r="74" spans="1:7" x14ac:dyDescent="0.2">
      <c r="A74" s="175" t="s">
        <v>8</v>
      </c>
      <c r="B74" s="194" t="s">
        <v>86</v>
      </c>
      <c r="C74" s="177"/>
      <c r="D74" s="178"/>
      <c r="E74" s="177"/>
      <c r="F74" s="179"/>
      <c r="G74" s="5"/>
    </row>
    <row r="75" spans="1:7" s="38" customFormat="1" x14ac:dyDescent="0.2">
      <c r="A75" s="25"/>
      <c r="B75" s="193" t="s">
        <v>87</v>
      </c>
      <c r="C75" s="54"/>
      <c r="D75" s="119"/>
      <c r="E75" s="113"/>
      <c r="F75" s="180"/>
    </row>
    <row r="76" spans="1:7" s="38" customFormat="1" ht="26.25" thickBot="1" x14ac:dyDescent="0.25">
      <c r="A76" s="181"/>
      <c r="B76" s="203" t="s">
        <v>88</v>
      </c>
      <c r="C76" s="200"/>
      <c r="D76" s="184"/>
      <c r="E76" s="196"/>
      <c r="F76" s="186"/>
    </row>
    <row r="77" spans="1:7" x14ac:dyDescent="0.2">
      <c r="A77" s="99"/>
      <c r="B77" s="258" t="s">
        <v>158</v>
      </c>
      <c r="C77" s="234">
        <f>SUM(C75:C76)</f>
        <v>0</v>
      </c>
      <c r="D77" s="234">
        <f t="shared" ref="D77:F77" si="2">SUM(D75:D76)</f>
        <v>0</v>
      </c>
      <c r="E77" s="234">
        <f t="shared" si="2"/>
        <v>0</v>
      </c>
      <c r="F77" s="234">
        <f t="shared" si="2"/>
        <v>0</v>
      </c>
      <c r="G77" s="5"/>
    </row>
    <row r="78" spans="1:7" x14ac:dyDescent="0.2">
      <c r="A78" s="57" t="s">
        <v>9</v>
      </c>
      <c r="B78" s="112" t="s">
        <v>90</v>
      </c>
      <c r="C78" s="113"/>
      <c r="D78" s="119"/>
      <c r="E78" s="113"/>
      <c r="F78" s="113"/>
      <c r="G78" s="5"/>
    </row>
    <row r="79" spans="1:7" s="38" customFormat="1" ht="15" x14ac:dyDescent="0.25">
      <c r="A79" s="57"/>
      <c r="B79" s="205" t="s">
        <v>91</v>
      </c>
      <c r="C79" s="47">
        <v>1</v>
      </c>
      <c r="D79" s="119">
        <f>C79*550000</f>
        <v>550000</v>
      </c>
      <c r="E79" s="113"/>
      <c r="F79" s="54"/>
    </row>
    <row r="80" spans="1:7" s="38" customFormat="1" ht="15" x14ac:dyDescent="0.25">
      <c r="A80" s="57"/>
      <c r="B80" s="205" t="s">
        <v>92</v>
      </c>
      <c r="C80" s="47">
        <v>1</v>
      </c>
      <c r="D80" s="119">
        <f>C80*450000</f>
        <v>450000</v>
      </c>
      <c r="E80" s="113"/>
      <c r="F80" s="54"/>
    </row>
    <row r="81" spans="1:7" s="38" customFormat="1" ht="15" x14ac:dyDescent="0.25">
      <c r="A81" s="57"/>
      <c r="B81" s="205" t="s">
        <v>93</v>
      </c>
      <c r="C81" s="47">
        <v>0</v>
      </c>
      <c r="D81" s="119">
        <f>C81*15000</f>
        <v>0</v>
      </c>
      <c r="E81" s="113"/>
      <c r="F81" s="54"/>
    </row>
    <row r="82" spans="1:7" s="38" customFormat="1" x14ac:dyDescent="0.2">
      <c r="A82" s="57"/>
      <c r="B82" s="205" t="s">
        <v>94</v>
      </c>
      <c r="C82" s="54">
        <v>1</v>
      </c>
      <c r="D82" s="119">
        <f>C82*130000</f>
        <v>130000</v>
      </c>
      <c r="E82" s="113"/>
      <c r="F82" s="54"/>
    </row>
    <row r="83" spans="1:7" s="38" customFormat="1" ht="15" x14ac:dyDescent="0.25">
      <c r="A83" s="57"/>
      <c r="B83" s="48" t="s">
        <v>95</v>
      </c>
      <c r="C83" s="47">
        <v>4</v>
      </c>
      <c r="D83" s="119">
        <f>C83*5000</f>
        <v>20000</v>
      </c>
      <c r="E83" s="58"/>
      <c r="F83" s="54"/>
    </row>
    <row r="84" spans="1:7" s="141" customFormat="1" ht="15" customHeight="1" x14ac:dyDescent="0.25">
      <c r="A84" s="57"/>
      <c r="B84" s="205" t="s">
        <v>96</v>
      </c>
      <c r="C84" s="47">
        <v>2</v>
      </c>
      <c r="D84" s="119">
        <f>C84*5000</f>
        <v>10000</v>
      </c>
      <c r="E84" s="113"/>
      <c r="F84" s="54"/>
    </row>
    <row r="85" spans="1:7" s="141" customFormat="1" ht="15" customHeight="1" x14ac:dyDescent="0.2">
      <c r="A85" s="57"/>
      <c r="B85" s="205" t="s">
        <v>97</v>
      </c>
      <c r="C85" s="54">
        <v>2</v>
      </c>
      <c r="D85" s="119">
        <f>C85*7000</f>
        <v>14000</v>
      </c>
      <c r="E85" s="113"/>
      <c r="F85" s="54"/>
    </row>
    <row r="86" spans="1:7" s="141" customFormat="1" ht="15" customHeight="1" x14ac:dyDescent="0.2">
      <c r="A86" s="57"/>
      <c r="B86" s="205" t="s">
        <v>98</v>
      </c>
      <c r="C86" s="54">
        <v>7</v>
      </c>
      <c r="D86" s="119">
        <f>C86*8000</f>
        <v>56000</v>
      </c>
      <c r="E86" s="113"/>
      <c r="F86" s="54"/>
    </row>
    <row r="87" spans="1:7" s="38" customFormat="1" x14ac:dyDescent="0.2">
      <c r="A87" s="57"/>
      <c r="B87" s="205" t="s">
        <v>99</v>
      </c>
      <c r="C87" s="54">
        <v>7</v>
      </c>
      <c r="D87" s="119">
        <f>C87*8000</f>
        <v>56000</v>
      </c>
      <c r="E87" s="113"/>
      <c r="F87" s="54"/>
    </row>
    <row r="88" spans="1:7" s="141" customFormat="1" ht="15" customHeight="1" x14ac:dyDescent="0.2">
      <c r="A88" s="57"/>
      <c r="B88" s="205" t="s">
        <v>100</v>
      </c>
      <c r="C88" s="54">
        <v>0</v>
      </c>
      <c r="D88" s="119">
        <f>C88*25000</f>
        <v>0</v>
      </c>
      <c r="E88" s="113"/>
      <c r="F88" s="54"/>
    </row>
    <row r="89" spans="1:7" s="141" customFormat="1" ht="15" customHeight="1" x14ac:dyDescent="0.2">
      <c r="A89" s="57"/>
      <c r="B89" s="205" t="s">
        <v>101</v>
      </c>
      <c r="C89" s="54">
        <v>6</v>
      </c>
      <c r="D89" s="119">
        <f>C89*1500</f>
        <v>9000</v>
      </c>
      <c r="E89" s="113"/>
      <c r="F89" s="54"/>
    </row>
    <row r="90" spans="1:7" s="38" customFormat="1" ht="15" x14ac:dyDescent="0.25">
      <c r="A90" s="57"/>
      <c r="B90" s="205" t="s">
        <v>102</v>
      </c>
      <c r="C90" s="47">
        <v>7</v>
      </c>
      <c r="D90" s="119">
        <f>C90*35000</f>
        <v>245000</v>
      </c>
      <c r="E90" s="58"/>
      <c r="F90" s="54"/>
    </row>
    <row r="91" spans="1:7" s="141" customFormat="1" ht="15" customHeight="1" thickBot="1" x14ac:dyDescent="0.25">
      <c r="A91" s="289"/>
      <c r="B91" s="188" t="s">
        <v>103</v>
      </c>
      <c r="C91" s="202"/>
      <c r="D91" s="189"/>
      <c r="E91" s="190"/>
      <c r="F91" s="202"/>
    </row>
    <row r="92" spans="1:7" ht="13.5" thickBot="1" x14ac:dyDescent="0.25">
      <c r="A92" s="171"/>
      <c r="B92" s="172" t="s">
        <v>159</v>
      </c>
      <c r="C92" s="173">
        <f>SUM(C79:C91)</f>
        <v>38</v>
      </c>
      <c r="D92" s="173">
        <f>SUM(D79:D91)</f>
        <v>1540000</v>
      </c>
      <c r="E92" s="173">
        <f>SUM(E79:E91)</f>
        <v>0</v>
      </c>
      <c r="F92" s="174">
        <f>SUM(F79:F91)</f>
        <v>0</v>
      </c>
      <c r="G92" s="5"/>
    </row>
    <row r="93" spans="1:7" x14ac:dyDescent="0.2">
      <c r="A93" s="210" t="s">
        <v>10</v>
      </c>
      <c r="B93" s="211" t="s">
        <v>104</v>
      </c>
      <c r="C93" s="177"/>
      <c r="D93" s="178"/>
      <c r="E93" s="177"/>
      <c r="F93" s="179"/>
      <c r="G93" s="5"/>
    </row>
    <row r="94" spans="1:7" s="141" customFormat="1" ht="15" x14ac:dyDescent="0.25">
      <c r="A94" s="143"/>
      <c r="B94" s="205" t="s">
        <v>105</v>
      </c>
      <c r="C94" s="47"/>
      <c r="D94" s="119"/>
      <c r="E94" s="58"/>
      <c r="F94" s="180"/>
    </row>
    <row r="95" spans="1:7" s="38" customFormat="1" ht="15" x14ac:dyDescent="0.25">
      <c r="A95" s="25"/>
      <c r="B95" s="48" t="s">
        <v>106</v>
      </c>
      <c r="C95" s="47"/>
      <c r="D95" s="119"/>
      <c r="E95" s="58"/>
      <c r="F95" s="180"/>
    </row>
    <row r="96" spans="1:7" s="38" customFormat="1" x14ac:dyDescent="0.2">
      <c r="A96" s="25"/>
      <c r="B96" s="48" t="s">
        <v>107</v>
      </c>
      <c r="C96" s="54"/>
      <c r="D96" s="119"/>
      <c r="E96" s="113"/>
      <c r="F96" s="180"/>
    </row>
    <row r="97" spans="1:6" s="38" customFormat="1" ht="15" x14ac:dyDescent="0.25">
      <c r="A97" s="25"/>
      <c r="B97" s="208" t="s">
        <v>109</v>
      </c>
      <c r="C97" s="47"/>
      <c r="D97" s="119"/>
      <c r="E97" s="113"/>
      <c r="F97" s="180"/>
    </row>
    <row r="98" spans="1:6" s="38" customFormat="1" x14ac:dyDescent="0.2">
      <c r="A98" s="25"/>
      <c r="B98" s="208" t="s">
        <v>111</v>
      </c>
      <c r="C98" s="54"/>
      <c r="D98" s="119"/>
      <c r="E98" s="113"/>
      <c r="F98" s="180"/>
    </row>
    <row r="99" spans="1:6" s="38" customFormat="1" x14ac:dyDescent="0.2">
      <c r="A99" s="25"/>
      <c r="B99" s="208" t="s">
        <v>113</v>
      </c>
      <c r="C99" s="54"/>
      <c r="D99" s="119"/>
      <c r="E99" s="58"/>
      <c r="F99" s="180"/>
    </row>
    <row r="100" spans="1:6" s="38" customFormat="1" ht="15" x14ac:dyDescent="0.25">
      <c r="A100" s="25"/>
      <c r="B100" s="208" t="s">
        <v>115</v>
      </c>
      <c r="C100" s="47"/>
      <c r="D100" s="119"/>
      <c r="E100" s="113"/>
      <c r="F100" s="180"/>
    </row>
    <row r="101" spans="1:6" s="38" customFormat="1" ht="15" x14ac:dyDescent="0.25">
      <c r="A101" s="25"/>
      <c r="B101" s="208" t="s">
        <v>279</v>
      </c>
      <c r="C101" s="47"/>
      <c r="D101" s="119"/>
      <c r="E101" s="113"/>
      <c r="F101" s="180"/>
    </row>
    <row r="102" spans="1:6" s="38" customFormat="1" x14ac:dyDescent="0.2">
      <c r="A102" s="25"/>
      <c r="B102" s="205" t="s">
        <v>116</v>
      </c>
      <c r="C102" s="54"/>
      <c r="D102" s="119"/>
      <c r="E102" s="113"/>
      <c r="F102" s="180"/>
    </row>
    <row r="103" spans="1:6" s="141" customFormat="1" ht="15" x14ac:dyDescent="0.25">
      <c r="A103" s="25"/>
      <c r="B103" s="208" t="s">
        <v>117</v>
      </c>
      <c r="C103" s="47"/>
      <c r="D103" s="119"/>
      <c r="E103" s="113"/>
      <c r="F103" s="180"/>
    </row>
    <row r="104" spans="1:6" s="38" customFormat="1" x14ac:dyDescent="0.2">
      <c r="A104" s="25"/>
      <c r="B104" s="48" t="s">
        <v>118</v>
      </c>
      <c r="C104" s="54"/>
      <c r="D104" s="119"/>
      <c r="E104" s="113"/>
      <c r="F104" s="180"/>
    </row>
    <row r="105" spans="1:6" s="141" customFormat="1" x14ac:dyDescent="0.2">
      <c r="A105" s="143"/>
      <c r="B105" s="205" t="s">
        <v>119</v>
      </c>
      <c r="C105" s="54"/>
      <c r="D105" s="119"/>
      <c r="E105" s="58"/>
      <c r="F105" s="180"/>
    </row>
    <row r="106" spans="1:6" s="141" customFormat="1" x14ac:dyDescent="0.2">
      <c r="A106" s="143"/>
      <c r="B106" s="48" t="s">
        <v>120</v>
      </c>
      <c r="C106" s="54"/>
      <c r="D106" s="119"/>
      <c r="E106" s="58"/>
      <c r="F106" s="180"/>
    </row>
    <row r="107" spans="1:6" s="38" customFormat="1" x14ac:dyDescent="0.2">
      <c r="A107" s="25"/>
      <c r="B107" s="320" t="s">
        <v>122</v>
      </c>
      <c r="C107" s="54"/>
      <c r="D107" s="119"/>
      <c r="E107" s="58"/>
      <c r="F107" s="180"/>
    </row>
    <row r="108" spans="1:6" s="38" customFormat="1" ht="25.5" x14ac:dyDescent="0.2">
      <c r="A108" s="25"/>
      <c r="B108" s="209" t="s">
        <v>124</v>
      </c>
      <c r="C108" s="54"/>
      <c r="D108" s="119"/>
      <c r="E108" s="58"/>
      <c r="F108" s="180"/>
    </row>
    <row r="109" spans="1:6" s="38" customFormat="1" x14ac:dyDescent="0.2">
      <c r="A109" s="25"/>
      <c r="B109" s="320" t="s">
        <v>126</v>
      </c>
      <c r="C109" s="54"/>
      <c r="D109" s="119"/>
      <c r="E109" s="113"/>
      <c r="F109" s="180"/>
    </row>
    <row r="110" spans="1:6" s="38" customFormat="1" x14ac:dyDescent="0.2">
      <c r="A110" s="25"/>
      <c r="B110" s="320" t="s">
        <v>128</v>
      </c>
      <c r="C110" s="54"/>
      <c r="D110" s="119"/>
      <c r="E110" s="113"/>
      <c r="F110" s="180"/>
    </row>
    <row r="111" spans="1:6" s="38" customFormat="1" x14ac:dyDescent="0.2">
      <c r="A111" s="25"/>
      <c r="B111" s="320" t="s">
        <v>130</v>
      </c>
      <c r="C111" s="54"/>
      <c r="D111" s="119"/>
      <c r="E111" s="113"/>
      <c r="F111" s="180"/>
    </row>
    <row r="112" spans="1:6" s="38" customFormat="1" x14ac:dyDescent="0.2">
      <c r="A112" s="25"/>
      <c r="B112" s="320" t="s">
        <v>280</v>
      </c>
      <c r="C112" s="54"/>
      <c r="D112" s="119"/>
      <c r="E112" s="113"/>
      <c r="F112" s="180"/>
    </row>
    <row r="113" spans="1:6" s="38" customFormat="1" x14ac:dyDescent="0.2">
      <c r="A113" s="25"/>
      <c r="B113" s="320" t="s">
        <v>133</v>
      </c>
      <c r="C113" s="54"/>
      <c r="D113" s="119"/>
      <c r="E113" s="58"/>
      <c r="F113" s="180"/>
    </row>
    <row r="114" spans="1:6" s="141" customFormat="1" ht="13.5" customHeight="1" x14ac:dyDescent="0.2">
      <c r="A114" s="25"/>
      <c r="B114" s="208" t="s">
        <v>134</v>
      </c>
      <c r="C114" s="54"/>
      <c r="D114" s="119"/>
      <c r="E114" s="113"/>
      <c r="F114" s="180"/>
    </row>
    <row r="115" spans="1:6" s="141" customFormat="1" ht="13.5" customHeight="1" x14ac:dyDescent="0.2">
      <c r="A115" s="25"/>
      <c r="B115" s="208" t="s">
        <v>135</v>
      </c>
      <c r="C115" s="54"/>
      <c r="D115" s="119"/>
      <c r="E115" s="113"/>
      <c r="F115" s="180"/>
    </row>
    <row r="116" spans="1:6" s="141" customFormat="1" ht="25.5" x14ac:dyDescent="0.2">
      <c r="A116" s="25"/>
      <c r="B116" s="208" t="s">
        <v>136</v>
      </c>
      <c r="C116" s="54"/>
      <c r="D116" s="119"/>
      <c r="E116" s="113"/>
      <c r="F116" s="180"/>
    </row>
    <row r="117" spans="1:6" s="38" customFormat="1" x14ac:dyDescent="0.2">
      <c r="A117" s="25"/>
      <c r="B117" s="205" t="s">
        <v>137</v>
      </c>
      <c r="C117" s="54"/>
      <c r="D117" s="119"/>
      <c r="E117" s="113"/>
      <c r="F117" s="180"/>
    </row>
    <row r="118" spans="1:6" s="38" customFormat="1" x14ac:dyDescent="0.2">
      <c r="A118" s="25"/>
      <c r="B118" s="205" t="s">
        <v>138</v>
      </c>
      <c r="C118" s="54"/>
      <c r="D118" s="119"/>
      <c r="E118" s="113"/>
      <c r="F118" s="180"/>
    </row>
    <row r="119" spans="1:6" s="38" customFormat="1" x14ac:dyDescent="0.2">
      <c r="A119" s="25"/>
      <c r="B119" s="48" t="s">
        <v>139</v>
      </c>
      <c r="C119" s="54"/>
      <c r="D119" s="119"/>
      <c r="E119" s="113"/>
      <c r="F119" s="180"/>
    </row>
    <row r="120" spans="1:6" s="38" customFormat="1" x14ac:dyDescent="0.2">
      <c r="A120" s="25"/>
      <c r="B120" s="48" t="s">
        <v>140</v>
      </c>
      <c r="C120" s="54"/>
      <c r="D120" s="119"/>
      <c r="E120" s="113"/>
      <c r="F120" s="180"/>
    </row>
    <row r="121" spans="1:6" s="38" customFormat="1" x14ac:dyDescent="0.2">
      <c r="A121" s="25"/>
      <c r="B121" s="48" t="s">
        <v>141</v>
      </c>
      <c r="C121" s="54"/>
      <c r="D121" s="119"/>
      <c r="E121" s="113"/>
      <c r="F121" s="180"/>
    </row>
    <row r="122" spans="1:6" s="38" customFormat="1" x14ac:dyDescent="0.2">
      <c r="A122" s="25"/>
      <c r="B122" s="48" t="s">
        <v>142</v>
      </c>
      <c r="C122" s="54"/>
      <c r="D122" s="119"/>
      <c r="E122" s="113"/>
      <c r="F122" s="180"/>
    </row>
    <row r="123" spans="1:6" s="38" customFormat="1" x14ac:dyDescent="0.2">
      <c r="A123" s="25"/>
      <c r="B123" s="205" t="s">
        <v>143</v>
      </c>
      <c r="C123" s="54"/>
      <c r="D123" s="119"/>
      <c r="E123" s="113"/>
      <c r="F123" s="180"/>
    </row>
    <row r="124" spans="1:6" s="38" customFormat="1" x14ac:dyDescent="0.2">
      <c r="A124" s="25"/>
      <c r="B124" s="48" t="s">
        <v>144</v>
      </c>
      <c r="C124" s="54"/>
      <c r="D124" s="119"/>
      <c r="E124" s="113"/>
      <c r="F124" s="180"/>
    </row>
    <row r="125" spans="1:6" s="38" customFormat="1" ht="38.25" x14ac:dyDescent="0.2">
      <c r="A125" s="25"/>
      <c r="B125" s="205" t="s">
        <v>145</v>
      </c>
      <c r="C125" s="54"/>
      <c r="D125" s="119"/>
      <c r="E125" s="113"/>
      <c r="F125" s="180"/>
    </row>
    <row r="126" spans="1:6" s="38" customFormat="1" x14ac:dyDescent="0.2">
      <c r="A126" s="25"/>
      <c r="B126" s="205" t="s">
        <v>146</v>
      </c>
      <c r="C126" s="54"/>
      <c r="D126" s="119"/>
      <c r="E126" s="113"/>
      <c r="F126" s="180"/>
    </row>
    <row r="127" spans="1:6" s="38" customFormat="1" x14ac:dyDescent="0.2">
      <c r="A127" s="25"/>
      <c r="B127" s="205" t="s">
        <v>147</v>
      </c>
      <c r="C127" s="54"/>
      <c r="D127" s="119"/>
      <c r="E127" s="113"/>
      <c r="F127" s="180"/>
    </row>
    <row r="128" spans="1:6" s="38" customFormat="1" x14ac:dyDescent="0.2">
      <c r="A128" s="25"/>
      <c r="B128" s="205" t="s">
        <v>148</v>
      </c>
      <c r="C128" s="54"/>
      <c r="D128" s="119"/>
      <c r="E128" s="113"/>
      <c r="F128" s="180"/>
    </row>
    <row r="129" spans="1:7" s="53" customFormat="1" x14ac:dyDescent="0.2">
      <c r="A129" s="25"/>
      <c r="B129" s="205" t="s">
        <v>149</v>
      </c>
      <c r="C129" s="54"/>
      <c r="D129" s="119"/>
      <c r="E129" s="113"/>
      <c r="F129" s="180"/>
    </row>
    <row r="130" spans="1:7" s="38" customFormat="1" x14ac:dyDescent="0.2">
      <c r="A130" s="25"/>
      <c r="B130" s="205" t="s">
        <v>150</v>
      </c>
      <c r="C130" s="54"/>
      <c r="D130" s="119"/>
      <c r="E130" s="113"/>
      <c r="F130" s="180"/>
    </row>
    <row r="131" spans="1:7" s="38" customFormat="1" x14ac:dyDescent="0.2">
      <c r="A131" s="25"/>
      <c r="B131" s="205" t="s">
        <v>151</v>
      </c>
      <c r="C131" s="54"/>
      <c r="D131" s="119"/>
      <c r="E131" s="113"/>
      <c r="F131" s="180"/>
    </row>
    <row r="132" spans="1:7" s="38" customFormat="1" ht="13.5" thickBot="1" x14ac:dyDescent="0.25">
      <c r="A132" s="187"/>
      <c r="B132" s="188" t="s">
        <v>152</v>
      </c>
      <c r="C132" s="202"/>
      <c r="D132" s="189"/>
      <c r="E132" s="198"/>
      <c r="F132" s="191"/>
    </row>
    <row r="133" spans="1:7" x14ac:dyDescent="0.2">
      <c r="A133" s="171"/>
      <c r="B133" s="172" t="s">
        <v>160</v>
      </c>
      <c r="C133" s="173">
        <f>SUM(C94:C132)</f>
        <v>0</v>
      </c>
      <c r="D133" s="173">
        <f>SUM(D94:D132)</f>
        <v>0</v>
      </c>
      <c r="E133" s="173">
        <f>SUM(E94:E132)</f>
        <v>0</v>
      </c>
      <c r="F133" s="173">
        <f>SUM(F94:F132)</f>
        <v>0</v>
      </c>
      <c r="G133" s="5"/>
    </row>
    <row r="134" spans="1:7" s="38" customFormat="1" x14ac:dyDescent="0.2">
      <c r="A134" s="206" t="s">
        <v>11</v>
      </c>
      <c r="B134" s="207" t="s">
        <v>153</v>
      </c>
      <c r="C134" s="54"/>
      <c r="D134" s="119"/>
      <c r="E134" s="54"/>
      <c r="F134" s="54"/>
    </row>
    <row r="135" spans="1:7" s="38" customFormat="1" x14ac:dyDescent="0.2">
      <c r="A135" s="57"/>
      <c r="B135" s="205" t="s">
        <v>163</v>
      </c>
      <c r="C135" s="54">
        <v>1</v>
      </c>
      <c r="D135" s="119">
        <v>21150</v>
      </c>
      <c r="E135" s="113"/>
      <c r="F135" s="54"/>
    </row>
    <row r="136" spans="1:7" s="38" customFormat="1" x14ac:dyDescent="0.2">
      <c r="A136" s="57"/>
      <c r="B136" s="205" t="s">
        <v>164</v>
      </c>
      <c r="C136" s="54"/>
      <c r="D136" s="119"/>
      <c r="E136" s="113"/>
      <c r="F136" s="54"/>
    </row>
    <row r="137" spans="1:7" s="38" customFormat="1" x14ac:dyDescent="0.2">
      <c r="A137" s="57"/>
      <c r="B137" s="205" t="s">
        <v>165</v>
      </c>
      <c r="C137" s="54"/>
      <c r="D137" s="119"/>
      <c r="E137" s="113"/>
      <c r="F137" s="54"/>
    </row>
    <row r="138" spans="1:7" s="38" customFormat="1" ht="15" x14ac:dyDescent="0.25">
      <c r="A138" s="57"/>
      <c r="B138" s="205" t="s">
        <v>166</v>
      </c>
      <c r="C138" s="47">
        <v>26</v>
      </c>
      <c r="D138" s="119">
        <v>82325</v>
      </c>
      <c r="E138" s="113"/>
      <c r="F138" s="54"/>
    </row>
    <row r="139" spans="1:7" s="38" customFormat="1" x14ac:dyDescent="0.2">
      <c r="A139" s="57"/>
      <c r="B139" s="205" t="s">
        <v>167</v>
      </c>
      <c r="C139" s="54"/>
      <c r="D139" s="119"/>
      <c r="E139" s="113"/>
      <c r="F139" s="54"/>
    </row>
    <row r="140" spans="1:7" s="38" customFormat="1" x14ac:dyDescent="0.2">
      <c r="A140" s="57"/>
      <c r="B140" s="40" t="s">
        <v>168</v>
      </c>
      <c r="C140" s="54"/>
      <c r="D140" s="119"/>
      <c r="E140" s="113"/>
      <c r="F140" s="54"/>
    </row>
    <row r="141" spans="1:7" s="38" customFormat="1" x14ac:dyDescent="0.2">
      <c r="A141" s="57"/>
      <c r="B141" s="40" t="s">
        <v>169</v>
      </c>
      <c r="C141" s="54">
        <v>1</v>
      </c>
      <c r="D141" s="119">
        <v>27500</v>
      </c>
      <c r="E141" s="113"/>
      <c r="F141" s="54"/>
    </row>
    <row r="142" spans="1:7" s="38" customFormat="1" ht="27.75" customHeight="1" x14ac:dyDescent="0.2">
      <c r="A142" s="57"/>
      <c r="B142" s="40" t="s">
        <v>170</v>
      </c>
      <c r="C142" s="54"/>
      <c r="D142" s="119"/>
      <c r="E142" s="113"/>
      <c r="F142" s="54"/>
    </row>
    <row r="143" spans="1:7" s="38" customFormat="1" ht="27.75" customHeight="1" x14ac:dyDescent="0.2">
      <c r="A143" s="57"/>
      <c r="B143" s="40" t="s">
        <v>277</v>
      </c>
      <c r="C143" s="54"/>
      <c r="D143" s="119"/>
      <c r="E143" s="113"/>
      <c r="F143" s="54"/>
    </row>
    <row r="144" spans="1:7" s="38" customFormat="1" ht="27.75" customHeight="1" x14ac:dyDescent="0.2">
      <c r="A144" s="57"/>
      <c r="B144" s="40" t="s">
        <v>278</v>
      </c>
      <c r="C144" s="54"/>
      <c r="D144" s="119"/>
      <c r="E144" s="113"/>
      <c r="F144" s="54"/>
    </row>
    <row r="145" spans="1:6" s="38" customFormat="1" x14ac:dyDescent="0.2">
      <c r="A145" s="57"/>
      <c r="B145" s="40" t="s">
        <v>171</v>
      </c>
      <c r="C145" s="54"/>
      <c r="D145" s="119"/>
      <c r="E145" s="113"/>
      <c r="F145" s="54"/>
    </row>
    <row r="146" spans="1:6" s="38" customFormat="1" x14ac:dyDescent="0.2">
      <c r="A146" s="57"/>
      <c r="B146" s="24" t="s">
        <v>172</v>
      </c>
      <c r="C146" s="54"/>
      <c r="D146" s="119"/>
      <c r="E146" s="113"/>
      <c r="F146" s="54"/>
    </row>
    <row r="147" spans="1:6" s="38" customFormat="1" x14ac:dyDescent="0.2">
      <c r="A147" s="57"/>
      <c r="B147" s="40" t="s">
        <v>173</v>
      </c>
      <c r="C147" s="54"/>
      <c r="D147" s="119"/>
      <c r="E147" s="113"/>
      <c r="F147" s="54"/>
    </row>
    <row r="148" spans="1:6" s="38" customFormat="1" x14ac:dyDescent="0.2">
      <c r="A148" s="57"/>
      <c r="B148" s="40" t="s">
        <v>174</v>
      </c>
      <c r="C148" s="54"/>
      <c r="D148" s="119"/>
      <c r="E148" s="113"/>
      <c r="F148" s="54"/>
    </row>
    <row r="149" spans="1:6" s="38" customFormat="1" x14ac:dyDescent="0.2">
      <c r="A149" s="57"/>
      <c r="B149" s="40" t="s">
        <v>175</v>
      </c>
      <c r="C149" s="54"/>
      <c r="D149" s="119"/>
      <c r="E149" s="113"/>
      <c r="F149" s="54"/>
    </row>
    <row r="150" spans="1:6" s="38" customFormat="1" ht="27.75" customHeight="1" x14ac:dyDescent="0.2">
      <c r="A150" s="57"/>
      <c r="B150" s="40" t="s">
        <v>176</v>
      </c>
      <c r="C150" s="54"/>
      <c r="D150" s="119"/>
      <c r="E150" s="113"/>
      <c r="F150" s="54"/>
    </row>
    <row r="151" spans="1:6" s="38" customFormat="1" x14ac:dyDescent="0.2">
      <c r="A151" s="57"/>
      <c r="B151" s="321" t="s">
        <v>177</v>
      </c>
      <c r="C151" s="54"/>
      <c r="D151" s="119"/>
      <c r="E151" s="113"/>
      <c r="F151" s="54"/>
    </row>
    <row r="152" spans="1:6" s="38" customFormat="1" x14ac:dyDescent="0.2">
      <c r="A152" s="57"/>
      <c r="B152" s="144" t="s">
        <v>178</v>
      </c>
      <c r="C152" s="54"/>
      <c r="D152" s="119"/>
      <c r="E152" s="113"/>
      <c r="F152" s="54"/>
    </row>
    <row r="153" spans="1:6" s="38" customFormat="1" x14ac:dyDescent="0.2">
      <c r="A153" s="57"/>
      <c r="B153" s="319" t="s">
        <v>179</v>
      </c>
      <c r="C153" s="54"/>
      <c r="D153" s="119"/>
      <c r="E153" s="113"/>
      <c r="F153" s="54"/>
    </row>
    <row r="154" spans="1:6" s="38" customFormat="1" x14ac:dyDescent="0.2">
      <c r="A154" s="133"/>
      <c r="B154" s="24" t="s">
        <v>180</v>
      </c>
      <c r="C154" s="54"/>
      <c r="D154" s="119"/>
      <c r="E154" s="58"/>
      <c r="F154" s="54"/>
    </row>
    <row r="155" spans="1:6" s="38" customFormat="1" x14ac:dyDescent="0.2">
      <c r="A155" s="133"/>
      <c r="B155" s="24" t="s">
        <v>181</v>
      </c>
      <c r="C155" s="54"/>
      <c r="D155" s="119"/>
      <c r="E155" s="58"/>
      <c r="F155" s="54"/>
    </row>
    <row r="156" spans="1:6" s="38" customFormat="1" x14ac:dyDescent="0.2">
      <c r="A156" s="133"/>
      <c r="B156" s="24" t="s">
        <v>182</v>
      </c>
      <c r="C156" s="54"/>
      <c r="D156" s="119"/>
      <c r="E156" s="58"/>
      <c r="F156" s="54"/>
    </row>
    <row r="157" spans="1:6" s="38" customFormat="1" x14ac:dyDescent="0.2">
      <c r="A157" s="133"/>
      <c r="B157" s="24" t="s">
        <v>183</v>
      </c>
      <c r="C157" s="54"/>
      <c r="D157" s="119"/>
      <c r="E157" s="58"/>
      <c r="F157" s="54"/>
    </row>
    <row r="158" spans="1:6" s="38" customFormat="1" x14ac:dyDescent="0.2">
      <c r="A158" s="133"/>
      <c r="B158" s="24" t="s">
        <v>184</v>
      </c>
      <c r="C158" s="54"/>
      <c r="D158" s="119"/>
      <c r="E158" s="58"/>
      <c r="F158" s="54"/>
    </row>
    <row r="159" spans="1:6" s="38" customFormat="1" ht="25.5" x14ac:dyDescent="0.2">
      <c r="A159" s="133"/>
      <c r="B159" s="24" t="s">
        <v>185</v>
      </c>
      <c r="C159" s="54"/>
      <c r="D159" s="119"/>
      <c r="E159" s="58"/>
      <c r="F159" s="54"/>
    </row>
    <row r="160" spans="1:6" s="38" customFormat="1" x14ac:dyDescent="0.2">
      <c r="A160" s="133"/>
      <c r="B160" s="319" t="s">
        <v>186</v>
      </c>
      <c r="C160" s="54"/>
      <c r="D160" s="119"/>
      <c r="E160" s="58"/>
      <c r="F160" s="54"/>
    </row>
    <row r="161" spans="1:7" s="38" customFormat="1" x14ac:dyDescent="0.2">
      <c r="A161" s="133"/>
      <c r="B161" s="24" t="s">
        <v>187</v>
      </c>
      <c r="C161" s="54"/>
      <c r="D161" s="119"/>
      <c r="E161" s="58"/>
      <c r="F161" s="54"/>
    </row>
    <row r="162" spans="1:7" s="38" customFormat="1" x14ac:dyDescent="0.2">
      <c r="A162" s="133"/>
      <c r="B162" s="24" t="s">
        <v>188</v>
      </c>
      <c r="C162" s="54"/>
      <c r="D162" s="119"/>
      <c r="E162" s="58"/>
      <c r="F162" s="54"/>
    </row>
    <row r="163" spans="1:7" s="38" customFormat="1" x14ac:dyDescent="0.2">
      <c r="A163" s="133"/>
      <c r="B163" s="24" t="s">
        <v>189</v>
      </c>
      <c r="C163" s="54"/>
      <c r="D163" s="119"/>
      <c r="E163" s="58"/>
      <c r="F163" s="54"/>
    </row>
    <row r="164" spans="1:7" s="38" customFormat="1" x14ac:dyDescent="0.2">
      <c r="A164" s="57"/>
      <c r="B164" s="40" t="s">
        <v>190</v>
      </c>
      <c r="C164" s="54"/>
      <c r="D164" s="119"/>
      <c r="E164" s="113"/>
      <c r="F164" s="54"/>
    </row>
    <row r="165" spans="1:7" s="38" customFormat="1" ht="13.5" thickBot="1" x14ac:dyDescent="0.25">
      <c r="A165" s="57"/>
      <c r="B165" s="24" t="s">
        <v>191</v>
      </c>
      <c r="C165" s="54">
        <v>1</v>
      </c>
      <c r="D165" s="119">
        <v>20000</v>
      </c>
      <c r="E165" s="113"/>
      <c r="F165" s="54"/>
    </row>
    <row r="166" spans="1:7" ht="13.5" thickBot="1" x14ac:dyDescent="0.25">
      <c r="A166" s="108"/>
      <c r="B166" s="169" t="s">
        <v>161</v>
      </c>
      <c r="C166" s="170">
        <f>SUM(C135:C165)</f>
        <v>29</v>
      </c>
      <c r="D166" s="170">
        <f>SUM(D135:D165)</f>
        <v>150975</v>
      </c>
      <c r="E166" s="170">
        <f>SUM(E135:E165)</f>
        <v>0</v>
      </c>
      <c r="F166" s="105">
        <f>SUM(F135:F165)</f>
        <v>0</v>
      </c>
      <c r="G166" s="5"/>
    </row>
    <row r="167" spans="1:7" s="38" customFormat="1" ht="13.5" thickBot="1" x14ac:dyDescent="0.25">
      <c r="A167" s="262"/>
      <c r="B167" s="263"/>
      <c r="C167" s="66"/>
      <c r="D167" s="212"/>
      <c r="E167" s="66"/>
      <c r="F167" s="67"/>
    </row>
    <row r="168" spans="1:7" ht="16.5" thickBot="1" x14ac:dyDescent="0.3">
      <c r="A168" s="148"/>
      <c r="B168" s="151" t="s">
        <v>162</v>
      </c>
      <c r="C168" s="150">
        <f>C10+C48+C60+C73+C77+C92+C133+C166</f>
        <v>157</v>
      </c>
      <c r="D168" s="150">
        <f>D10+D48+D60+D73+D77+D92+D133+D166</f>
        <v>2694475</v>
      </c>
      <c r="E168" s="150">
        <f>E10+E48+E60+E73+E77+E92+E133+E166</f>
        <v>0</v>
      </c>
      <c r="F168" s="150">
        <f>F10+F48+F60+F73+F77+F92+F133+F166</f>
        <v>0</v>
      </c>
      <c r="G168" s="5"/>
    </row>
    <row r="171" spans="1:7" x14ac:dyDescent="0.2">
      <c r="G171" s="5"/>
    </row>
    <row r="172" spans="1:7" x14ac:dyDescent="0.2">
      <c r="G172" s="5"/>
    </row>
  </sheetData>
  <mergeCells count="2">
    <mergeCell ref="C4:D4"/>
    <mergeCell ref="E4:F4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8"/>
  <sheetViews>
    <sheetView tabSelected="1" topLeftCell="A127" zoomScale="105" zoomScaleNormal="105" workbookViewId="0">
      <selection activeCell="B12" sqref="B12"/>
    </sheetView>
  </sheetViews>
  <sheetFormatPr defaultRowHeight="12.75" x14ac:dyDescent="0.2"/>
  <cols>
    <col min="1" max="1" width="9.85546875" style="11" customWidth="1"/>
    <col min="2" max="2" width="56.28515625" style="9" customWidth="1"/>
    <col min="3" max="3" width="11" style="11" bestFit="1" customWidth="1"/>
    <col min="4" max="4" width="14.140625" style="16" bestFit="1" customWidth="1"/>
    <col min="5" max="5" width="13.140625" style="11" customWidth="1"/>
    <col min="6" max="6" width="18.140625" style="16" customWidth="1"/>
    <col min="7" max="7" width="17.5703125" customWidth="1"/>
    <col min="8" max="8" width="11.7109375" style="32" customWidth="1"/>
    <col min="9" max="9" width="13.28515625" style="32" customWidth="1"/>
    <col min="10" max="10" width="10" style="31" customWidth="1"/>
    <col min="11" max="11" width="13" style="33" customWidth="1"/>
  </cols>
  <sheetData>
    <row r="1" spans="1:11" x14ac:dyDescent="0.2">
      <c r="A1" s="1"/>
      <c r="B1" s="1" t="s">
        <v>55</v>
      </c>
      <c r="C1" s="2"/>
      <c r="D1" s="15"/>
      <c r="E1" s="2"/>
      <c r="F1" s="15"/>
      <c r="I1" s="31"/>
    </row>
    <row r="2" spans="1:11" ht="13.5" thickBot="1" x14ac:dyDescent="0.25">
      <c r="A2" s="1"/>
      <c r="B2" s="2"/>
      <c r="C2" s="2"/>
      <c r="D2" s="15"/>
      <c r="E2" s="2"/>
      <c r="F2" s="15"/>
      <c r="I2" s="31"/>
    </row>
    <row r="3" spans="1:11" ht="16.5" thickBot="1" x14ac:dyDescent="0.3">
      <c r="A3" s="70"/>
      <c r="B3" s="71"/>
      <c r="C3" s="405" t="s">
        <v>56</v>
      </c>
      <c r="D3" s="406"/>
      <c r="E3" s="405" t="s">
        <v>56</v>
      </c>
      <c r="F3" s="406"/>
      <c r="G3" s="408" t="s">
        <v>60</v>
      </c>
      <c r="I3" s="31"/>
    </row>
    <row r="4" spans="1:11" ht="16.5" thickBot="1" x14ac:dyDescent="0.3">
      <c r="A4" s="70"/>
      <c r="B4" s="71"/>
      <c r="C4" s="405" t="s">
        <v>235</v>
      </c>
      <c r="D4" s="406"/>
      <c r="E4" s="405" t="s">
        <v>59</v>
      </c>
      <c r="F4" s="407"/>
      <c r="G4" s="409"/>
      <c r="I4" s="31"/>
    </row>
    <row r="5" spans="1:11" ht="30.75" customHeight="1" thickBot="1" x14ac:dyDescent="0.25">
      <c r="A5" s="72" t="s">
        <v>62</v>
      </c>
      <c r="B5" s="73" t="s">
        <v>63</v>
      </c>
      <c r="C5" s="74" t="s">
        <v>57</v>
      </c>
      <c r="D5" s="75" t="s">
        <v>58</v>
      </c>
      <c r="E5" s="76" t="s">
        <v>57</v>
      </c>
      <c r="F5" s="75" t="s">
        <v>58</v>
      </c>
      <c r="G5" s="410"/>
      <c r="I5" s="34"/>
      <c r="J5" s="34"/>
    </row>
    <row r="6" spans="1:11" x14ac:dyDescent="0.2">
      <c r="A6" s="59" t="s">
        <v>2</v>
      </c>
      <c r="B6" s="60" t="s">
        <v>192</v>
      </c>
      <c r="C6" s="66"/>
      <c r="D6" s="67"/>
      <c r="E6" s="67"/>
      <c r="F6" s="67"/>
      <c r="I6" s="31"/>
    </row>
    <row r="7" spans="1:11" x14ac:dyDescent="0.2">
      <c r="A7" s="86"/>
      <c r="B7" s="87" t="s">
        <v>18</v>
      </c>
      <c r="C7" s="18">
        <f>ОПЕРУ!C7+'00075+'!C7+'00086+'!C7+'00868+'!C7+'00224+'!C7+'00207+'!C7+'00854'!C7+'00317'!C7+'01045'!C7+'00490'!C7+'00424'!C7+'00853'!C7+'00494'!C7+'00855'!C7+'01152'!C7</f>
        <v>2</v>
      </c>
      <c r="D7" s="18">
        <f>ОПЕРУ!D7+'00075+'!D7+'00086+'!D7+'00868+'!D7+'00224+'!D7+'00207+'!D7+'00854'!D7+'00317'!D7+'01045'!D7+'00490'!D7+'00424'!D7+'00853'!D7+'00494'!D7+'00855'!D7+'01152'!D7</f>
        <v>600000</v>
      </c>
      <c r="E7" s="18">
        <f>ОПЕРУ!E7+'00075+'!E7+'00086+'!E7+'00868+'!E7+'00224+'!E7+'00207+'!E7+'00854'!E7+'00317'!E7+'01045'!E7+'00490'!E7+'00424'!E7+'00853'!E7+'00494'!E7+'00855'!E7+'01152'!E7</f>
        <v>0</v>
      </c>
      <c r="F7" s="399">
        <f>ОПЕРУ!F7+'00075+'!F7+'00086+'!F7+'00868+'!F7+'00224+'!F7+'00207+'!F7+'00854'!F7+'00317'!F7+'01045'!F7+'00490'!F7+'00424'!F7+'00853'!F7+'00494'!F7+'00855'!F7+'01152'!F7</f>
        <v>0</v>
      </c>
      <c r="G7" s="19"/>
      <c r="H7" s="19"/>
      <c r="I7" s="19"/>
      <c r="J7" s="19"/>
      <c r="K7" s="19"/>
    </row>
    <row r="8" spans="1:11" x14ac:dyDescent="0.2">
      <c r="A8" s="86"/>
      <c r="B8" s="87" t="s">
        <v>4</v>
      </c>
      <c r="C8" s="18">
        <f>ОПЕРУ!C8+'00075+'!C8+'00086+'!C8+'00868+'!C8+'00224+'!C8+'00207+'!C8+'00854'!C8+'00317'!C8+'01045'!C8+'00490'!C8+'00424'!C8+'00853'!C8+'00494'!C8+'00855'!C8+'01152'!C8</f>
        <v>7</v>
      </c>
      <c r="D8" s="18">
        <f>ОПЕРУ!D8+'00075+'!D8+'00086+'!D8+'00868+'!D8+'00224+'!D8+'00207+'!D8+'00854'!D8+'00317'!D8+'01045'!D8+'00490'!D8+'00424'!D8+'00853'!D8+'00494'!D8+'00855'!D8+'01152'!D8</f>
        <v>630000</v>
      </c>
      <c r="E8" s="18">
        <f>ОПЕРУ!E8+'00075+'!E8+'00086+'!E8+'00868+'!E8+'00224+'!E8+'00207+'!E8+'00854'!E8+'00317'!E8+'01045'!E8+'00490'!E8+'00424'!E8+'00853'!E8+'00494'!E8+'00855'!E8+'01152'!E8</f>
        <v>0</v>
      </c>
      <c r="F8" s="399">
        <f>ОПЕРУ!F8+'00075+'!F8+'00086+'!F8+'00868+'!F8+'00224+'!F8+'00207+'!F8+'00854'!F8+'00317'!F8+'01045'!F8+'00490'!F8+'00424'!F8+'00853'!F8+'00494'!F8+'00855'!F8+'01152'!F8</f>
        <v>0</v>
      </c>
      <c r="G8" s="19"/>
      <c r="H8" s="19"/>
      <c r="I8" s="19"/>
      <c r="J8" s="19"/>
      <c r="K8" s="19"/>
    </row>
    <row r="9" spans="1:11" x14ac:dyDescent="0.2">
      <c r="A9" s="86"/>
      <c r="B9" s="87" t="s">
        <v>17</v>
      </c>
      <c r="C9" s="18">
        <f>ОПЕРУ!C9+'00075+'!C9+'00086+'!C9+'00868+'!C9+'00224+'!C9+'00207+'!C9+'00854'!C9+'00317'!C9+'01045'!C9+'00490'!C9+'00424'!C9+'00853'!C9+'00494'!C9+'00855'!C9+'01152'!C9</f>
        <v>1</v>
      </c>
      <c r="D9" s="18">
        <f>ОПЕРУ!D9+'00075+'!D9+'00086+'!D9+'00868+'!D9+'00224+'!D9+'00207+'!D9+'00854'!D9+'00317'!D9+'01045'!D9+'00490'!D9+'00424'!D9+'00853'!D9+'00494'!D9+'00855'!D9+'01152'!D9</f>
        <v>410000</v>
      </c>
      <c r="E9" s="18">
        <f>ОПЕРУ!E9+'00075+'!E9+'00086+'!E9+'00868+'!E9+'00224+'!E9+'00207+'!E9+'00854'!E9+'00317'!E9+'01045'!E9+'00490'!E9+'00424'!E9+'00853'!E9+'00494'!E9+'00855'!E9+'01152'!E9</f>
        <v>0</v>
      </c>
      <c r="F9" s="399">
        <f>ОПЕРУ!F9+'00075+'!F9+'00086+'!F9+'00868+'!F9+'00224+'!F9+'00207+'!F9+'00854'!F9+'00317'!F9+'01045'!F9+'00490'!F9+'00424'!F9+'00853'!F9+'00494'!F9+'00855'!F9+'01152'!F9</f>
        <v>0</v>
      </c>
      <c r="G9" s="19"/>
      <c r="H9" s="19"/>
      <c r="I9" s="19"/>
      <c r="J9" s="19"/>
      <c r="K9" s="19"/>
    </row>
    <row r="10" spans="1:11" x14ac:dyDescent="0.2">
      <c r="A10" s="88"/>
      <c r="B10" s="89" t="s">
        <v>15</v>
      </c>
      <c r="C10" s="18">
        <f>ОПЕРУ!C10+'00075+'!C10+'00086+'!C10+'00868+'!C10+'00224+'!C10+'00207+'!C10+'00854'!C10+'00317'!C10+'01045'!C10+'00490'!C10+'00424'!C10+'00853'!C10+'00494'!C10+'00855'!C10+'01152'!C10</f>
        <v>13</v>
      </c>
      <c r="D10" s="18">
        <f>ОПЕРУ!D10+'00075+'!D10+'00086+'!D10+'00868+'!D10+'00224+'!D10+'00207+'!D10+'00854'!D10+'00317'!D10+'01045'!D10+'00490'!D10+'00424'!D10+'00853'!D10+'00494'!D10+'00855'!D10+'01152'!D10</f>
        <v>3380000</v>
      </c>
      <c r="E10" s="18">
        <f>ОПЕРУ!E10+'00075+'!E10+'00086+'!E10+'00868+'!E10+'00224+'!E10+'00207+'!E10+'00854'!E10+'00317'!E10+'01045'!E10+'00490'!E10+'00424'!E10+'00853'!E10+'00494'!E10+'00855'!E10+'01152'!E10</f>
        <v>0</v>
      </c>
      <c r="F10" s="399">
        <f>ОПЕРУ!F10+'00075+'!F10+'00086+'!F10+'00868+'!F10+'00224+'!F10+'00207+'!F10+'00854'!F10+'00317'!F10+'01045'!F10+'00490'!F10+'00424'!F10+'00853'!F10+'00494'!F10+'00855'!F10+'01152'!F10</f>
        <v>0</v>
      </c>
      <c r="G10" s="19"/>
      <c r="H10" s="19"/>
      <c r="I10" s="19"/>
      <c r="J10" s="19"/>
      <c r="K10" s="19"/>
    </row>
    <row r="11" spans="1:11" x14ac:dyDescent="0.2">
      <c r="A11" s="88"/>
      <c r="B11" s="89" t="s">
        <v>16</v>
      </c>
      <c r="C11" s="18">
        <f>ОПЕРУ!C11+'00075+'!C11+'00086+'!C11+'00868+'!C11+'00224+'!C11+'00207+'!C11+'00854'!C11+'00317'!C11+'01045'!C11+'00490'!C11+'00424'!C11+'00853'!C11+'00494'!C11+'00855'!C11+'01152'!C11</f>
        <v>49</v>
      </c>
      <c r="D11" s="18">
        <f>ОПЕРУ!D11+'00075+'!D11+'00086+'!D11+'00868+'!D11+'00224+'!D11+'00207+'!D11+'00854'!D11+'00317'!D11+'01045'!D11+'00490'!D11+'00424'!D11+'00853'!D11+'00494'!D11+'00855'!D11+'01152'!D11</f>
        <v>9800000</v>
      </c>
      <c r="E11" s="18">
        <f>ОПЕРУ!E11+'00075+'!E11+'00086+'!E11+'00868+'!E11+'00224+'!E11+'00207+'!E11+'00854'!E11+'00317'!E11+'01045'!E11+'00490'!E11+'00424'!E11+'00853'!E11+'00494'!E11+'00855'!E11+'01152'!E11</f>
        <v>0</v>
      </c>
      <c r="F11" s="399">
        <f>ОПЕРУ!F11+'00075+'!F11+'00086+'!F11+'00868+'!F11+'00224+'!F11+'00207+'!F11+'00854'!F11+'00317'!F11+'01045'!F11+'00490'!F11+'00424'!F11+'00853'!F11+'00494'!F11+'00855'!F11+'01152'!F11</f>
        <v>0</v>
      </c>
      <c r="G11" s="19"/>
      <c r="H11" s="19"/>
      <c r="I11" s="19"/>
      <c r="J11" s="19"/>
      <c r="K11" s="19"/>
    </row>
    <row r="12" spans="1:11" ht="13.5" thickBot="1" x14ac:dyDescent="0.25">
      <c r="A12" s="95"/>
      <c r="B12" s="96" t="s">
        <v>155</v>
      </c>
      <c r="C12" s="97">
        <f>SUM(C7:C11)</f>
        <v>72</v>
      </c>
      <c r="D12" s="98">
        <f>SUM(D7:D11)</f>
        <v>14820000</v>
      </c>
      <c r="E12" s="98">
        <f>SUM(E7:E11)</f>
        <v>0</v>
      </c>
      <c r="F12" s="98">
        <f>SUM(F7:F11)</f>
        <v>0</v>
      </c>
      <c r="G12" s="45"/>
      <c r="H12" s="19"/>
      <c r="I12" s="45"/>
      <c r="J12" s="19"/>
      <c r="K12" s="19"/>
    </row>
    <row r="13" spans="1:11" s="32" customFormat="1" x14ac:dyDescent="0.2">
      <c r="A13" s="59" t="s">
        <v>5</v>
      </c>
      <c r="B13" s="60" t="s">
        <v>89</v>
      </c>
      <c r="C13" s="109"/>
      <c r="D13" s="109"/>
      <c r="E13" s="109">
        <f>ОПЕРУ!E13+'00075+'!E12+'00086+'!E13+'00868+'!E13+'00224+'!E13+'00207+'!E13+'00854'!E14+'00317'!E14+'01045'!E14+'00490'!E13+'00424'!E13+'00494'!E14+'00853'!E14+'00855'!E12+'01152'!E14</f>
        <v>0</v>
      </c>
      <c r="F13" s="154">
        <f>ОПЕРУ!F13+'00075+'!F12+'00086+'!F13+'00868+'!F13+'00224+'!F13+'00207+'!F13+'00854'!F14+'00317'!F14+'01045'!F14+'00490'!F13+'00424'!F13+'00494'!F14+'00853'!F14+'00855'!F12+'01152'!F14</f>
        <v>0</v>
      </c>
      <c r="G13" s="35"/>
      <c r="H13" s="35"/>
      <c r="I13" s="35"/>
      <c r="J13" s="35"/>
      <c r="K13" s="35"/>
    </row>
    <row r="14" spans="1:11" s="32" customFormat="1" x14ac:dyDescent="0.2">
      <c r="A14" s="25"/>
      <c r="B14" s="24" t="s">
        <v>19</v>
      </c>
      <c r="C14" s="109">
        <f>ОПЕРУ!C14+'00075+'!C14+'00086+'!C14+'00868+'!C14+'00224+'!C14+'00207+'!C14+'00854'!C14+'00317'!C14+'01045'!C14+'00490'!C14+'00424'!C14+'00853'!C14+'00494'!C14+'00855'!C14+'01152'!C14</f>
        <v>514</v>
      </c>
      <c r="D14" s="109">
        <f>ОПЕРУ!D14+'00075+'!D14+'00086+'!D14+'00868+'!D14+'00224+'!D14+'00207+'!D14+'00854'!D14+'00317'!D14+'01045'!D14+'00490'!D14+'00424'!D14+'00853'!D14+'00494'!D14+'00855'!D14+'01152'!D14</f>
        <v>1542000</v>
      </c>
      <c r="E14" s="109">
        <f>ОПЕРУ!E14+'00075+'!E13+'00086+'!E14+'00868+'!E14+'00224+'!E14+'00207+'!E14+'00854'!E15+'00317'!E15+'01045'!E15+'00490'!E14+'00424'!E14+'00494'!E15+'00853'!E15+'00855'!E13+'01152'!E15</f>
        <v>0</v>
      </c>
      <c r="F14" s="154">
        <f>ОПЕРУ!F14+'00075+'!F13+'00086+'!F14+'00868+'!F14+'00224+'!F14+'00207+'!F14+'00854'!F15+'00317'!F15+'01045'!F15+'00490'!F14+'00424'!F14+'00494'!F15+'00853'!F15+'00855'!F13+'01152'!F15</f>
        <v>0</v>
      </c>
      <c r="H14" s="35"/>
      <c r="I14" s="35"/>
      <c r="J14" s="35"/>
      <c r="K14" s="35"/>
    </row>
    <row r="15" spans="1:11" s="32" customFormat="1" x14ac:dyDescent="0.2">
      <c r="A15" s="25"/>
      <c r="B15" s="24" t="s">
        <v>20</v>
      </c>
      <c r="C15" s="109">
        <f>ОПЕРУ!C15+'00075+'!C15+'00086+'!C15+'00868+'!C15+'00224+'!C15+'00207+'!C15+'00854'!C15+'00317'!C15+'01045'!C15+'00490'!C15+'00424'!C15+'00853'!C15+'00494'!C15+'00855'!C15+'01152'!C15</f>
        <v>41</v>
      </c>
      <c r="D15" s="109">
        <f>ОПЕРУ!D15+'00075+'!D15+'00086+'!D15+'00868+'!D15+'00224+'!D15+'00207+'!D15+'00854'!D15+'00317'!D15+'01045'!D15+'00490'!D15+'00424'!D15+'00853'!D15+'00494'!D15+'00855'!D15+'01152'!D15</f>
        <v>451000</v>
      </c>
      <c r="E15" s="109">
        <f>ОПЕРУ!E15+'00075+'!E14+'00086+'!E15+'00868+'!E15+'00224+'!E15+'00207+'!E15+'00854'!E16+'00317'!E16+'01045'!E16+'00490'!E15+'00424'!E15+'00494'!E16+'00853'!E16+'00855'!E14+'01152'!E16</f>
        <v>0</v>
      </c>
      <c r="F15" s="154">
        <f>ОПЕРУ!F15+'00075+'!F14+'00086+'!F15+'00868+'!F15+'00224+'!F15+'00207+'!F15+'00854'!F16+'00317'!F16+'01045'!F16+'00490'!F15+'00424'!F15+'00494'!F16+'00853'!F16+'00855'!F14+'01152'!F16</f>
        <v>0</v>
      </c>
      <c r="H15" s="35"/>
      <c r="I15" s="35"/>
      <c r="J15" s="35"/>
      <c r="K15" s="35"/>
    </row>
    <row r="16" spans="1:11" s="32" customFormat="1" x14ac:dyDescent="0.2">
      <c r="A16" s="25"/>
      <c r="B16" s="115" t="s">
        <v>21</v>
      </c>
      <c r="C16" s="109">
        <f>ОПЕРУ!C16+'00075+'!C16+'00086+'!C16+'00868+'!C16+'00224+'!C16+'00207+'!C16+'00854'!C16+'00317'!C16+'01045'!C16+'00490'!C16+'00424'!C16+'00853'!C16+'00494'!C16+'00855'!C16+'01152'!C16</f>
        <v>109</v>
      </c>
      <c r="D16" s="109">
        <f>ОПЕРУ!D16+'00075+'!D16+'00086+'!D16+'00868+'!D16+'00224+'!D16+'00207+'!D16+'00854'!D16+'00317'!D16+'01045'!D16+'00490'!D16+'00424'!D16+'00853'!D16+'00494'!D16+'00855'!D16+'01152'!D16</f>
        <v>490500</v>
      </c>
      <c r="E16" s="109">
        <f>ОПЕРУ!E16+'00075+'!E15+'00086+'!E16+'00868+'!E16+'00224+'!E16+'00207+'!E16+'00854'!E17+'00317'!E17+'01045'!E17+'00490'!E16+'00424'!E16+'00494'!E17+'00853'!E17+'00855'!E15+'01152'!E17</f>
        <v>0</v>
      </c>
      <c r="F16" s="154">
        <f>ОПЕРУ!F16+'00075+'!F15+'00086+'!F16+'00868+'!F16+'00224+'!F16+'00207+'!F16+'00854'!F17+'00317'!F17+'01045'!F17+'00490'!F16+'00424'!F16+'00494'!F17+'00853'!F17+'00855'!F15+'01152'!F17</f>
        <v>0</v>
      </c>
      <c r="H16" s="35"/>
      <c r="I16" s="35"/>
      <c r="J16" s="35"/>
      <c r="K16" s="35"/>
    </row>
    <row r="17" spans="1:11" s="32" customFormat="1" x14ac:dyDescent="0.2">
      <c r="A17" s="25"/>
      <c r="B17" s="115" t="s">
        <v>22</v>
      </c>
      <c r="C17" s="109">
        <f>ОПЕРУ!C17+'00075+'!C17+'00086+'!C17+'00868+'!C17+'00224+'!C17+'00207+'!C17+'00854'!C17+'00317'!C17+'01045'!C17+'00490'!C17+'00424'!C17+'00853'!C17+'00494'!C17+'00855'!C17+'01152'!C17</f>
        <v>35</v>
      </c>
      <c r="D17" s="109">
        <f>ОПЕРУ!D17+'00075+'!D17+'00086+'!D17+'00868+'!D17+'00224+'!D17+'00207+'!D17+'00854'!D17+'00317'!D17+'01045'!D17+'00490'!D17+'00424'!D17+'00853'!D17+'00494'!D17+'00855'!D17+'01152'!D17</f>
        <v>157500</v>
      </c>
      <c r="E17" s="109">
        <f>ОПЕРУ!E17+'00075+'!E17+'00086+'!E17+'00868+'!E17+'00224+'!E17+'00207+'!E17+'00854'!E17+'00317'!E17+'01045'!E17+'00490'!E17+'00424'!E17+'00853'!E17+'00494'!E17+'00855'!E17+'01152'!E17</f>
        <v>0</v>
      </c>
      <c r="F17" s="154">
        <f>ОПЕРУ!F17+'00075+'!F17+'00086+'!F17+'00868+'!F17+'00224+'!F17+'00207+'!F17+'00854'!F17+'00317'!F17+'01045'!F17+'00490'!F17+'00424'!F17+'00853'!F17+'00494'!F17+'00855'!F17+'01152'!F17</f>
        <v>0</v>
      </c>
      <c r="H17" s="35"/>
      <c r="I17" s="35"/>
      <c r="J17" s="35"/>
      <c r="K17" s="35"/>
    </row>
    <row r="18" spans="1:11" s="32" customFormat="1" x14ac:dyDescent="0.2">
      <c r="A18" s="25"/>
      <c r="B18" s="115" t="s">
        <v>24</v>
      </c>
      <c r="C18" s="109">
        <f>ОПЕРУ!C18+'00075+'!C18+'00086+'!C18+'00868+'!C18+'00224+'!C18+'00207+'!C18+'00854'!C18+'00317'!C18+'01045'!C18+'00490'!C18+'00424'!C18+'00853'!C18+'00494'!C18+'00855'!C18+'01152'!C18</f>
        <v>1</v>
      </c>
      <c r="D18" s="109">
        <f>ОПЕРУ!D18+'00075+'!D18+'00086+'!D18+'00868+'!D18+'00224+'!D18+'00207+'!D18+'00854'!D18+'00317'!D18+'01045'!D18+'00490'!D18+'00424'!D18+'00853'!D18+'00494'!D18+'00855'!D18+'01152'!D18</f>
        <v>9000</v>
      </c>
      <c r="E18" s="109">
        <f>ОПЕРУ!E18+'00075+'!E18+'00086+'!E18+'00868+'!E18+'00224+'!E18+'00207+'!E18+'00854'!E18+'00317'!E18+'01045'!E18+'00490'!E18+'00424'!E18+'00853'!E18+'00494'!E18+'00855'!E18+'01152'!E18</f>
        <v>0</v>
      </c>
      <c r="F18" s="154">
        <f>ОПЕРУ!F18+'00075+'!F18+'00086+'!F18+'00868+'!F18+'00224+'!F18+'00207+'!F18+'00854'!F18+'00317'!F18+'01045'!F18+'00490'!F18+'00424'!F18+'00853'!F18+'00494'!F18+'00855'!F18+'01152'!F18</f>
        <v>0</v>
      </c>
      <c r="H18" s="35"/>
      <c r="I18" s="35"/>
      <c r="J18" s="35"/>
      <c r="K18" s="35"/>
    </row>
    <row r="19" spans="1:11" s="32" customFormat="1" x14ac:dyDescent="0.2">
      <c r="A19" s="25"/>
      <c r="B19" s="24" t="s">
        <v>25</v>
      </c>
      <c r="C19" s="109">
        <f>ОПЕРУ!C19+'00075+'!C19+'00086+'!C19+'00868+'!C19+'00224+'!C19+'00207+'!C19+'00854'!C19+'00317'!C19+'01045'!C19+'00490'!C19+'00424'!C19+'00853'!C19+'00494'!C19+'00855'!C19+'01152'!C19</f>
        <v>126</v>
      </c>
      <c r="D19" s="109">
        <f>ОПЕРУ!D19+'00075+'!D19+'00086+'!D19+'00868+'!D19+'00224+'!D19+'00207+'!D19+'00854'!D19+'00317'!D19+'01045'!D19+'00490'!D19+'00424'!D19+'00853'!D19+'00494'!D19+'00855'!D19+'01152'!D19</f>
        <v>88200</v>
      </c>
      <c r="E19" s="109">
        <f>ОПЕРУ!E19+'00075+'!E19+'00086+'!E19+'00868+'!E19+'00224+'!E19+'00207+'!E19+'00854'!E19+'00317'!E19+'01045'!E19+'00490'!E19+'00424'!E19+'00853'!E19+'00494'!E19+'00855'!E19+'01152'!E19</f>
        <v>0</v>
      </c>
      <c r="F19" s="154">
        <f>ОПЕРУ!F19+'00075+'!F19+'00086+'!F19+'00868+'!F19+'00224+'!F19+'00207+'!F19+'00854'!F19+'00317'!F19+'01045'!F19+'00490'!F19+'00424'!F19+'00853'!F19+'00494'!F19+'00855'!F19+'01152'!F19</f>
        <v>0</v>
      </c>
      <c r="H19" s="35"/>
      <c r="I19" s="35"/>
      <c r="J19" s="35"/>
      <c r="K19" s="35"/>
    </row>
    <row r="20" spans="1:11" s="32" customFormat="1" x14ac:dyDescent="0.2">
      <c r="A20" s="25"/>
      <c r="B20" s="24" t="s">
        <v>26</v>
      </c>
      <c r="C20" s="109">
        <f>ОПЕРУ!C20+'00075+'!C18+'00086+'!C20+'00868+'!C20+'00224+'!C20+'00207+'!C20+'00854'!C20+'00317'!C20+'01045'!C20+'00490'!C20+'00424'!C20+'00853'!C20+'00494'!C20+'00855'!C20+'01152'!C20</f>
        <v>70</v>
      </c>
      <c r="D20" s="109">
        <f>ОПЕРУ!D20+'00075+'!D18+'00086+'!D20+'00868+'!D20+'00224+'!D20+'00207+'!D20+'00854'!D20+'00317'!D20+'01045'!D20+'00490'!D20+'00424'!D20+'00853'!D20+'00494'!D20+'00855'!D20+'01152'!D20</f>
        <v>210000</v>
      </c>
      <c r="E20" s="109">
        <f>ОПЕРУ!E20+'00075+'!E18+'00086+'!E20+'00868+'!E20+'00224+'!E20+'00207+'!E20+'00854'!E21+'00317'!E21+'01045'!E21+'00490'!E20+'00424'!E20+'00494'!E21+'00853'!E21+'00855'!E19+'01152'!E21</f>
        <v>0</v>
      </c>
      <c r="F20" s="154">
        <f>ОПЕРУ!F20+'00075+'!F18+'00086+'!F20+'00868+'!F20+'00224+'!F20+'00207+'!F20+'00854'!F21+'00317'!F21+'01045'!F21+'00490'!F20+'00424'!F20+'00494'!F21+'00853'!F21+'00855'!F19+'01152'!F21</f>
        <v>0</v>
      </c>
      <c r="H20" s="35"/>
      <c r="I20" s="35"/>
      <c r="J20" s="35"/>
      <c r="K20" s="35"/>
    </row>
    <row r="21" spans="1:11" s="32" customFormat="1" x14ac:dyDescent="0.2">
      <c r="A21" s="25"/>
      <c r="B21" s="24" t="s">
        <v>27</v>
      </c>
      <c r="C21" s="109">
        <f>ОПЕРУ!C21+'00075+'!C19+'00086+'!C21+'00868+'!C21+'00224+'!C21+'00207+'!C21+'00854'!C21+'00317'!C21+'01045'!C21+'00490'!C21+'00424'!C21+'00853'!C21+'00494'!C21+'00855'!C21+'01152'!C21</f>
        <v>161</v>
      </c>
      <c r="D21" s="109">
        <f>ОПЕРУ!D21+'00075+'!D19+'00086+'!D21+'00868+'!D21+'00224+'!D21+'00207+'!D21+'00854'!D21+'00317'!D21+'01045'!D21+'00490'!D21+'00424'!D21+'00853'!D21+'00494'!D21+'00855'!D21+'01152'!D21</f>
        <v>241500</v>
      </c>
      <c r="E21" s="109">
        <f>ОПЕРУ!E21+'00075+'!E19+'00086+'!E21+'00868+'!E21+'00224+'!E21+'00207+'!E21+'00854'!E22+'00317'!E22+'01045'!E22+'00490'!E21+'00424'!E21+'00494'!E22+'00853'!E22+'00855'!E20+'01152'!E22</f>
        <v>0</v>
      </c>
      <c r="F21" s="154">
        <f>ОПЕРУ!F21+'00075+'!F19+'00086+'!F21+'00868+'!F21+'00224+'!F21+'00207+'!F21+'00854'!F22+'00317'!F22+'01045'!F22+'00490'!F21+'00424'!F21+'00494'!F22+'00853'!F22+'00855'!F20+'01152'!F22</f>
        <v>0</v>
      </c>
      <c r="H21" s="35"/>
      <c r="I21" s="35"/>
      <c r="J21" s="35"/>
      <c r="K21" s="35"/>
    </row>
    <row r="22" spans="1:11" s="32" customFormat="1" x14ac:dyDescent="0.2">
      <c r="A22" s="25"/>
      <c r="B22" s="24" t="s">
        <v>28</v>
      </c>
      <c r="C22" s="109">
        <f>ОПЕРУ!C22+'00075+'!C22+'00086+'!C22+'00868+'!C22+'00224+'!C22+'00207+'!C22+'00854'!C22+'00317'!C22+'01045'!C22+'00490'!C22+'00424'!C22+'00853'!C22+'00494'!C22+'00855'!C22+'01152'!C22</f>
        <v>77</v>
      </c>
      <c r="D22" s="109">
        <f>ОПЕРУ!D22+'00075+'!D22+'00086+'!D22+'00868+'!D22+'00224+'!D22+'00207+'!D22+'00854'!D22+'00317'!D22+'01045'!D22+'00490'!D22+'00424'!D22+'00853'!D22+'00494'!D22+'00855'!D22+'01152'!D22</f>
        <v>308000</v>
      </c>
      <c r="E22" s="109">
        <f>ОПЕРУ!E22+'00075+'!E22+'00086+'!E22+'00868+'!E22+'00224+'!E22+'00207+'!E22+'00854'!E22+'00317'!E22+'01045'!E22+'00490'!E22+'00424'!E22+'00853'!E22+'00494'!E22+'00855'!E22+'01152'!E22</f>
        <v>0</v>
      </c>
      <c r="F22" s="154">
        <f>ОПЕРУ!F22+'00075+'!F22+'00086+'!F22+'00868+'!F22+'00224+'!F22+'00207+'!F22+'00854'!F22+'00317'!F22+'01045'!F22+'00490'!F22+'00424'!F22+'00853'!F22+'00494'!F22+'00855'!F22+'01152'!F22</f>
        <v>0</v>
      </c>
      <c r="H22" s="35"/>
      <c r="I22" s="35"/>
      <c r="J22" s="35"/>
      <c r="K22" s="35"/>
    </row>
    <row r="23" spans="1:11" s="32" customFormat="1" x14ac:dyDescent="0.2">
      <c r="A23" s="25"/>
      <c r="B23" s="24" t="s">
        <v>29</v>
      </c>
      <c r="C23" s="109">
        <f>ОПЕРУ!C23+'00075+'!C23+'00086+'!C23+'00868+'!C23+'00224+'!C23+'00207+'!C23+'00854'!C23+'00317'!C23+'01045'!C23+'00490'!C23+'00424'!C23+'00853'!C23+'00494'!C23+'00855'!C23+'01152'!C23</f>
        <v>4</v>
      </c>
      <c r="D23" s="109">
        <f>ОПЕРУ!D23+'00075+'!D23+'00086+'!D23+'00868+'!D23+'00224+'!D23+'00207+'!D23+'00854'!D23+'00317'!D23+'01045'!D23+'00490'!D23+'00424'!D23+'00853'!D23+'00494'!D23+'00855'!D23+'01152'!D23</f>
        <v>66000</v>
      </c>
      <c r="E23" s="109">
        <f>ОПЕРУ!E23+'00075+'!E23+'00086+'!E23+'00868+'!E23+'00224+'!E23+'00207+'!E23+'00854'!E23+'00317'!E23+'01045'!E23+'00490'!E23+'00424'!E23+'00853'!E23+'00494'!E23+'00855'!E23+'01152'!E23</f>
        <v>0</v>
      </c>
      <c r="F23" s="154">
        <f>ОПЕРУ!F23+'00075+'!F23+'00086+'!F23+'00868+'!F23+'00224+'!F23+'00207+'!F23+'00854'!F23+'00317'!F23+'01045'!F23+'00490'!F23+'00424'!F23+'00853'!F23+'00494'!F23+'00855'!F23+'01152'!F23</f>
        <v>0</v>
      </c>
      <c r="H23" s="35"/>
      <c r="I23" s="35"/>
      <c r="J23" s="35"/>
      <c r="K23" s="35"/>
    </row>
    <row r="24" spans="1:11" s="32" customFormat="1" x14ac:dyDescent="0.2">
      <c r="A24" s="25"/>
      <c r="B24" s="24" t="s">
        <v>30</v>
      </c>
      <c r="C24" s="109">
        <f>ОПЕРУ!C24+'00075+'!C24+'00086+'!C24+'00868+'!C24+'00224+'!C24+'00207+'!C24+'00854'!C24+'00317'!C24+'01045'!C24+'00490'!C24+'00424'!C24+'00853'!C24+'00494'!C24+'00855'!C24+'01152'!C24</f>
        <v>69</v>
      </c>
      <c r="D24" s="109">
        <f>ОПЕРУ!D24+'00075+'!D24+'00086+'!D24+'00868+'!D24+'00224+'!D24+'00207+'!D24+'00854'!D24+'00317'!D24+'01045'!D24+'00490'!D24+'00424'!D24+'00853'!D24+'00494'!D24+'00855'!D24+'01152'!D24</f>
        <v>207000</v>
      </c>
      <c r="E24" s="109">
        <f>ОПЕРУ!E24+'00075+'!E24+'00086+'!E24+'00868+'!E24+'00224+'!E24+'00207+'!E24+'00854'!E24+'00317'!E24+'01045'!E24+'00490'!E24+'00424'!E24+'00853'!E24+'00494'!E24+'00855'!E24+'01152'!E24</f>
        <v>0</v>
      </c>
      <c r="F24" s="154">
        <f>ОПЕРУ!F24+'00075+'!F24+'00086+'!F24+'00868+'!F24+'00224+'!F24+'00207+'!F24+'00854'!F24+'00317'!F24+'01045'!F24+'00490'!F24+'00424'!F24+'00853'!F24+'00494'!F24+'00855'!F24+'01152'!F24</f>
        <v>0</v>
      </c>
      <c r="H24" s="35"/>
      <c r="I24" s="35"/>
      <c r="J24" s="35"/>
      <c r="K24" s="35"/>
    </row>
    <row r="25" spans="1:11" s="32" customFormat="1" x14ac:dyDescent="0.2">
      <c r="A25" s="25"/>
      <c r="B25" s="24" t="s">
        <v>31</v>
      </c>
      <c r="C25" s="109">
        <f>ОПЕРУ!C25+'00075+'!C25+'00086+'!C25+'00868+'!C25+'00224+'!C25+'00207+'!C25+'00854'!C25+'00317'!C25+'01045'!C25+'00490'!C25+'00424'!C25+'00853'!C25+'00494'!C25+'00855'!C25+'01152'!C25</f>
        <v>29</v>
      </c>
      <c r="D25" s="109">
        <f>ОПЕРУ!D25+'00075+'!D25+'00086+'!D25+'00868+'!D25+'00224+'!D25+'00207+'!D25+'00854'!D25+'00317'!D25+'01045'!D25+'00490'!D25+'00424'!D25+'00853'!D25+'00494'!D25+'00855'!D25+'01152'!D25</f>
        <v>116000</v>
      </c>
      <c r="E25" s="109">
        <f>ОПЕРУ!E25+'00075+'!E25+'00086+'!E25+'00868+'!E25+'00224+'!E25+'00207+'!E25+'00854'!E25+'00317'!E25+'01045'!E25+'00490'!E25+'00424'!E25+'00853'!E25+'00494'!E25+'00855'!E25+'01152'!E25</f>
        <v>0</v>
      </c>
      <c r="F25" s="154">
        <f>ОПЕРУ!F25+'00075+'!F25+'00086+'!F25+'00868+'!F25+'00224+'!F25+'00207+'!F25+'00854'!F25+'00317'!F25+'01045'!F25+'00490'!F25+'00424'!F25+'00853'!F25+'00494'!F25+'00855'!F25+'01152'!F25</f>
        <v>0</v>
      </c>
      <c r="H25" s="35"/>
      <c r="I25" s="35"/>
      <c r="J25" s="35"/>
      <c r="K25" s="35"/>
    </row>
    <row r="26" spans="1:11" s="32" customFormat="1" x14ac:dyDescent="0.2">
      <c r="A26" s="25"/>
      <c r="B26" s="24" t="s">
        <v>32</v>
      </c>
      <c r="C26" s="109">
        <f>ОПЕРУ!C26+'00075+'!C26+'00086+'!C26+'00868+'!C26+'00224+'!C26+'00207+'!C26+'00854'!C26+'00317'!C26+'01045'!C26+'00490'!C26+'00424'!C26+'00853'!C26+'00494'!C26+'00855'!C26+'01152'!C26</f>
        <v>496</v>
      </c>
      <c r="D26" s="109">
        <f>ОПЕРУ!D26+'00075+'!D26+'00086+'!D26+'00868+'!D26+'00224+'!D26+'00207+'!D26+'00854'!D26+'00317'!D26+'01045'!D26+'00490'!D26+'00424'!D26+'00853'!D26+'00494'!D26+'00855'!D26+'01152'!D26</f>
        <v>1240000</v>
      </c>
      <c r="E26" s="109">
        <f>ОПЕРУ!E26+'00075+'!E26+'00086+'!E26+'00868+'!E26+'00224+'!E26+'00207+'!E26+'00854'!E26+'00317'!E26+'01045'!E26+'00490'!E26+'00424'!E26+'00853'!E26+'00494'!E26+'00855'!E26+'01152'!E26</f>
        <v>0</v>
      </c>
      <c r="F26" s="154">
        <f>ОПЕРУ!F26+'00075+'!F26+'00086+'!F26+'00868+'!F26+'00224+'!F26+'00207+'!F26+'00854'!F26+'00317'!F26+'01045'!F26+'00490'!F26+'00424'!F26+'00853'!F26+'00494'!F26+'00855'!F26+'01152'!F26</f>
        <v>0</v>
      </c>
      <c r="H26" s="35"/>
      <c r="I26" s="35"/>
      <c r="J26" s="35"/>
      <c r="K26" s="35"/>
    </row>
    <row r="27" spans="1:11" s="32" customFormat="1" x14ac:dyDescent="0.2">
      <c r="A27" s="25"/>
      <c r="B27" s="24" t="s">
        <v>33</v>
      </c>
      <c r="C27" s="109">
        <f>ОПЕРУ!C27+'00075+'!C27+'00086+'!C27+'00868+'!C27+'00224+'!C27+'00207+'!C27+'00854'!C27+'00317'!C27+'01045'!C27+'00490'!C27+'00424'!C27+'00853'!C27+'00494'!C27+'00855'!C27+'01152'!C27</f>
        <v>538</v>
      </c>
      <c r="D27" s="109">
        <f>ОПЕРУ!D27+'00075+'!D27+'00086+'!D27+'00868+'!D27+'00224+'!D27+'00207+'!D27+'00854'!D27+'00317'!D27+'01045'!D27+'00490'!D27+'00424'!D27+'00853'!D27+'00494'!D27+'00855'!D27+'01152'!D27</f>
        <v>1345000</v>
      </c>
      <c r="E27" s="109">
        <f>ОПЕРУ!E27+'00075+'!E27+'00086+'!E27+'00868+'!E27+'00224+'!E27+'00207+'!E27+'00854'!E27+'00317'!E27+'01045'!E27+'00490'!E27+'00424'!E27+'00853'!E27+'00494'!E27+'00855'!E27+'01152'!E27</f>
        <v>0</v>
      </c>
      <c r="F27" s="154">
        <f>ОПЕРУ!F27+'00075+'!F27+'00086+'!F27+'00868+'!F27+'00224+'!F27+'00207+'!F27+'00854'!F27+'00317'!F27+'01045'!F27+'00490'!F27+'00424'!F27+'00853'!F27+'00494'!F27+'00855'!F27+'01152'!F27</f>
        <v>0</v>
      </c>
      <c r="H27" s="35"/>
      <c r="I27" s="35"/>
      <c r="J27" s="35"/>
      <c r="K27" s="35"/>
    </row>
    <row r="28" spans="1:11" s="32" customFormat="1" x14ac:dyDescent="0.2">
      <c r="A28" s="25"/>
      <c r="B28" s="24" t="s">
        <v>34</v>
      </c>
      <c r="C28" s="109">
        <f>ОПЕРУ!C28+'00075+'!C28+'00086+'!C28+'00868+'!C28+'00224+'!C28+'00207+'!C28+'00854'!C28+'00317'!C28+'01045'!C28+'00490'!C28+'00424'!C28+'00853'!C28+'00494'!C28+'00855'!C28+'01152'!C28</f>
        <v>434</v>
      </c>
      <c r="D28" s="109">
        <f>ОПЕРУ!D28+'00075+'!D28+'00086+'!D28+'00868+'!D28+'00224+'!D28+'00207+'!D28+'00854'!D28+'00317'!D28+'01045'!D28+'00490'!D28+'00424'!D28+'00853'!D28+'00494'!D28+'00855'!D28+'01152'!D28</f>
        <v>870000</v>
      </c>
      <c r="E28" s="109">
        <f>ОПЕРУ!E28+'00075+'!E28+'00086+'!E28+'00868+'!E28+'00224+'!E28+'00207+'!E28+'00854'!E28+'00317'!E28+'01045'!E28+'00490'!E28+'00424'!E28+'00853'!E28+'00494'!E28+'00855'!E28+'01152'!E28</f>
        <v>0</v>
      </c>
      <c r="F28" s="154">
        <f>ОПЕРУ!F28+'00075+'!F28+'00086+'!F28+'00868+'!F28+'00224+'!F28+'00207+'!F28+'00854'!F28+'00317'!F28+'01045'!F28+'00490'!F28+'00424'!F28+'00853'!F28+'00494'!F28+'00855'!F28+'01152'!F28</f>
        <v>0</v>
      </c>
      <c r="H28" s="35"/>
      <c r="I28" s="35"/>
      <c r="J28" s="35"/>
      <c r="K28" s="35"/>
    </row>
    <row r="29" spans="1:11" s="32" customFormat="1" x14ac:dyDescent="0.2">
      <c r="A29" s="25"/>
      <c r="B29" s="24" t="s">
        <v>36</v>
      </c>
      <c r="C29" s="109">
        <f>ОПЕРУ!C29+'00075+'!C29+'00086+'!C29+'00868+'!C29+'00224+'!C29+'00207+'!C29+'00854'!C29+'00317'!C29+'01045'!C29+'00490'!C29+'00424'!C29+'00853'!C29+'00494'!C29+'00855'!C29+'01152'!C29</f>
        <v>78</v>
      </c>
      <c r="D29" s="109">
        <f>ОПЕРУ!D29+'00075+'!D29+'00086+'!D29+'00868+'!D29+'00224+'!D29+'00207+'!D29+'00854'!D29+'00317'!D29+'01045'!D29+'00490'!D29+'00424'!D29+'00853'!D29+'00494'!D29+'00855'!D29+'01152'!D29</f>
        <v>390000</v>
      </c>
      <c r="E29" s="109">
        <f>ОПЕРУ!E29+'00075+'!E29+'00086+'!E29+'00868+'!E29+'00224+'!E29+'00207+'!E29+'00854'!E29+'00317'!E29+'01045'!E29+'00490'!E29+'00424'!E29+'00853'!E29+'00494'!E29+'00855'!E29+'01152'!E29</f>
        <v>0</v>
      </c>
      <c r="F29" s="154">
        <f>ОПЕРУ!F29+'00075+'!F29+'00086+'!F29+'00868+'!F29+'00224+'!F29+'00207+'!F29+'00854'!F29+'00317'!F29+'01045'!F29+'00490'!F29+'00424'!F29+'00853'!F29+'00494'!F29+'00855'!F29+'01152'!F29</f>
        <v>0</v>
      </c>
      <c r="H29" s="35"/>
      <c r="I29" s="35"/>
      <c r="J29" s="35"/>
      <c r="K29" s="35"/>
    </row>
    <row r="30" spans="1:11" s="32" customFormat="1" x14ac:dyDescent="0.2">
      <c r="A30" s="25"/>
      <c r="B30" s="24" t="s">
        <v>37</v>
      </c>
      <c r="C30" s="109">
        <f>ОПЕРУ!C30+'00075+'!C30+'00086+'!C30+'00868+'!C30+'00224+'!C30+'00207+'!C30+'00854'!C30+'00317'!C30+'01045'!C30+'00490'!C30+'00424'!C30+'00853'!C30+'00494'!C30+'00855'!C30+'01152'!C30</f>
        <v>180</v>
      </c>
      <c r="D30" s="109">
        <f>ОПЕРУ!D30+'00075+'!D30+'00086+'!D30+'00868+'!D30+'00224+'!D30+'00207+'!D30+'00854'!D30+'00317'!D30+'01045'!D30+'00490'!D30+'00424'!D30+'00853'!D30+'00494'!D30+'00855'!D30+'01152'!D30</f>
        <v>540000</v>
      </c>
      <c r="E30" s="109">
        <f>ОПЕРУ!E30+'00075+'!E30+'00086+'!E30+'00868+'!E30+'00224+'!E30+'00207+'!E30+'00854'!E30+'00317'!E30+'01045'!E30+'00490'!E30+'00424'!E30+'00853'!E30+'00494'!E30+'00855'!E30+'01152'!E30</f>
        <v>0</v>
      </c>
      <c r="F30" s="154">
        <f>ОПЕРУ!F30+'00075+'!F30+'00086+'!F30+'00868+'!F30+'00224+'!F30+'00207+'!F30+'00854'!F30+'00317'!F30+'01045'!F30+'00490'!F30+'00424'!F30+'00853'!F30+'00494'!F30+'00855'!F30+'01152'!F30</f>
        <v>0</v>
      </c>
      <c r="H30" s="35"/>
      <c r="I30" s="35"/>
      <c r="J30" s="35"/>
      <c r="K30" s="35"/>
    </row>
    <row r="31" spans="1:11" s="32" customFormat="1" x14ac:dyDescent="0.2">
      <c r="A31" s="25"/>
      <c r="B31" s="24" t="s">
        <v>38</v>
      </c>
      <c r="C31" s="109">
        <f>ОПЕРУ!C31+'00075+'!C31+'00086+'!C31+'00868+'!C31+'00224+'!C31+'00207+'!C31+'00854'!C31+'00317'!C31+'01045'!C31+'00490'!C31+'00424'!C31+'00853'!C31+'00494'!C31+'00855'!C31+'01152'!C31</f>
        <v>170</v>
      </c>
      <c r="D31" s="109">
        <f>ОПЕРУ!D31+'00075+'!D31+'00086+'!D31+'00868+'!D31+'00224+'!D31+'00207+'!D31+'00854'!D31+'00317'!D31+'01045'!D31+'00490'!D31+'00424'!D31+'00853'!D31+'00494'!D31+'00855'!D31+'01152'!D31</f>
        <v>425000</v>
      </c>
      <c r="E31" s="109">
        <f>ОПЕРУ!E31+'00075+'!E31+'00086+'!E31+'00868+'!E31+'00224+'!E31+'00207+'!E31+'00854'!E31+'00317'!E31+'01045'!E31+'00490'!E31+'00424'!E31+'00853'!E31+'00494'!E31+'00855'!E31+'01152'!E31</f>
        <v>0</v>
      </c>
      <c r="F31" s="154">
        <f>ОПЕРУ!F31+'00075+'!F31+'00086+'!F31+'00868+'!F31+'00224+'!F31+'00207+'!F31+'00854'!F31+'00317'!F31+'01045'!F31+'00490'!F31+'00424'!F31+'00853'!F31+'00494'!F31+'00855'!F31+'01152'!F31</f>
        <v>0</v>
      </c>
      <c r="H31" s="35"/>
      <c r="I31" s="35"/>
      <c r="J31" s="35"/>
      <c r="K31" s="35"/>
    </row>
    <row r="32" spans="1:11" s="32" customFormat="1" x14ac:dyDescent="0.2">
      <c r="A32" s="25"/>
      <c r="B32" s="24" t="s">
        <v>39</v>
      </c>
      <c r="C32" s="109">
        <f>ОПЕРУ!C32+'00075+'!C32+'00086+'!C32+'00868+'!C32+'00224+'!C32+'00207+'!C32+'00854'!C32+'00317'!C32+'01045'!C32+'00490'!C32+'00424'!C32+'00853'!C32+'00494'!C32+'00855'!C32+'01152'!C32</f>
        <v>68</v>
      </c>
      <c r="D32" s="109">
        <f>ОПЕРУ!D32+'00075+'!D32+'00086+'!D32+'00868+'!D32+'00224+'!D32+'00207+'!D32+'00854'!D32+'00317'!D32+'01045'!D32+'00490'!D32+'00424'!D32+'00853'!D32+'00494'!D32+'00855'!D32+'01152'!D32</f>
        <v>136000</v>
      </c>
      <c r="E32" s="109">
        <f>ОПЕРУ!E32+'00075+'!E32+'00086+'!E32+'00868+'!E32+'00224+'!E32+'00207+'!E32+'00854'!E32+'00317'!E32+'01045'!E32+'00490'!E32+'00424'!E32+'00853'!E32+'00494'!E32+'00855'!E32+'01152'!E32</f>
        <v>0</v>
      </c>
      <c r="F32" s="154">
        <f>ОПЕРУ!F32+'00075+'!F32+'00086+'!F32+'00868+'!F32+'00224+'!F32+'00207+'!F32+'00854'!F32+'00317'!F32+'01045'!F32+'00490'!F32+'00424'!F32+'00853'!F32+'00494'!F32+'00855'!F32+'01152'!F32</f>
        <v>0</v>
      </c>
      <c r="H32" s="35"/>
      <c r="I32" s="35"/>
      <c r="J32" s="35"/>
      <c r="K32" s="35"/>
    </row>
    <row r="33" spans="1:11" s="32" customFormat="1" x14ac:dyDescent="0.2">
      <c r="A33" s="25"/>
      <c r="B33" s="24" t="s">
        <v>40</v>
      </c>
      <c r="C33" s="109">
        <f>ОПЕРУ!C33+'00075+'!C33+'00086+'!C33+'00868+'!C33+'00224+'!C33+'00207+'!C33+'00854'!C33+'00317'!C33+'01045'!C33+'00490'!C33+'00424'!C33+'00853'!C33+'00494'!C33+'00855'!C33+'01152'!C33</f>
        <v>56</v>
      </c>
      <c r="D33" s="109">
        <f>ОПЕРУ!D33+'00075+'!D33+'00086+'!D33+'00868+'!D33+'00224+'!D33+'00207+'!D33+'00854'!D33+'00317'!D33+'01045'!D33+'00490'!D33+'00424'!D33+'00853'!D33+'00494'!D33+'00855'!D33+'01152'!D33</f>
        <v>168000</v>
      </c>
      <c r="E33" s="109">
        <f>ОПЕРУ!E33+'00075+'!E33+'00086+'!E33+'00868+'!E33+'00224+'!E33+'00207+'!E33+'00854'!E33+'00317'!E33+'01045'!E33+'00490'!E33+'00424'!E33+'00853'!E33+'00494'!E33+'00855'!E33+'01152'!E33</f>
        <v>0</v>
      </c>
      <c r="F33" s="154">
        <f>ОПЕРУ!F33+'00075+'!F33+'00086+'!F33+'00868+'!F33+'00224+'!F33+'00207+'!F33+'00854'!F33+'00317'!F33+'01045'!F33+'00490'!F33+'00424'!F33+'00853'!F33+'00494'!F33+'00855'!F33+'01152'!F33</f>
        <v>0</v>
      </c>
      <c r="H33" s="35"/>
      <c r="I33" s="35"/>
      <c r="J33" s="35"/>
      <c r="K33" s="35"/>
    </row>
    <row r="34" spans="1:11" s="32" customFormat="1" x14ac:dyDescent="0.2">
      <c r="A34" s="25"/>
      <c r="B34" s="24" t="s">
        <v>41</v>
      </c>
      <c r="C34" s="109">
        <f>ОПЕРУ!C34+'00075+'!C34+'00086+'!C34+'00868+'!C34+'00224+'!C34+'00207+'!C34+'00854'!C34+'00317'!C34+'01045'!C34+'00490'!C34+'00424'!C34+'00853'!C34+'00494'!C34+'00855'!C34+'01152'!C34</f>
        <v>96</v>
      </c>
      <c r="D34" s="109">
        <f>ОПЕРУ!D34+'00075+'!D34+'00086+'!D34+'00868+'!D34+'00224+'!D34+'00207+'!D34+'00854'!D34+'00317'!D34+'01045'!D34+'00490'!D34+'00424'!D34+'00853'!D34+'00494'!D34+'00855'!D34+'01152'!D34</f>
        <v>243000</v>
      </c>
      <c r="E34" s="109">
        <f>ОПЕРУ!E34+'00075+'!E34+'00086+'!E34+'00868+'!E34+'00224+'!E34+'00207+'!E34+'00854'!E34+'00317'!E34+'01045'!E34+'00490'!E34+'00424'!E34+'00853'!E34+'00494'!E34+'00855'!E34+'01152'!E34</f>
        <v>0</v>
      </c>
      <c r="F34" s="154">
        <f>ОПЕРУ!F34+'00075+'!F34+'00086+'!F34+'00868+'!F34+'00224+'!F34+'00207+'!F34+'00854'!F34+'00317'!F34+'01045'!F34+'00490'!F34+'00424'!F34+'00853'!F34+'00494'!F34+'00855'!F34+'01152'!F34</f>
        <v>0</v>
      </c>
      <c r="H34" s="35"/>
      <c r="I34" s="35"/>
      <c r="J34" s="35"/>
      <c r="K34" s="35"/>
    </row>
    <row r="35" spans="1:11" s="32" customFormat="1" x14ac:dyDescent="0.2">
      <c r="A35" s="25"/>
      <c r="B35" s="24" t="s">
        <v>42</v>
      </c>
      <c r="C35" s="109">
        <f>ОПЕРУ!C35+'00075+'!C35+'00086+'!C35+'00868+'!C35+'00224+'!C35+'00207+'!C35+'00854'!C35+'00317'!C35+'01045'!C35+'00490'!C35+'00424'!C35+'00853'!C35+'00494'!C35+'00855'!C35+'01152'!C35</f>
        <v>26</v>
      </c>
      <c r="D35" s="109">
        <f>ОПЕРУ!D35+'00075+'!D35+'00086+'!D35+'00868+'!D35+'00224+'!D35+'00207+'!D35+'00854'!D35+'00317'!D35+'01045'!D35+'00490'!D35+'00424'!D35+'00853'!D35+'00494'!D35+'00855'!D35+'01152'!D35</f>
        <v>52000</v>
      </c>
      <c r="E35" s="109">
        <f>ОПЕРУ!E35+'00075+'!E35+'00086+'!E35+'00868+'!E35+'00224+'!E35+'00207+'!E35+'00854'!E35+'00317'!E35+'01045'!E35+'00490'!E35+'00424'!E35+'00853'!E35+'00494'!E35+'00855'!E35+'01152'!E35</f>
        <v>0</v>
      </c>
      <c r="F35" s="154">
        <f>ОПЕРУ!F35+'00075+'!F35+'00086+'!F35+'00868+'!F35+'00224+'!F35+'00207+'!F35+'00854'!F35+'00317'!F35+'01045'!F35+'00490'!F35+'00424'!F35+'00853'!F35+'00494'!F35+'00855'!F35+'01152'!F35</f>
        <v>0</v>
      </c>
      <c r="H35" s="35"/>
      <c r="I35" s="35"/>
      <c r="J35" s="35"/>
      <c r="K35" s="35"/>
    </row>
    <row r="36" spans="1:11" s="32" customFormat="1" x14ac:dyDescent="0.2">
      <c r="A36" s="25"/>
      <c r="B36" s="24" t="s">
        <v>43</v>
      </c>
      <c r="C36" s="109">
        <f>ОПЕРУ!C36+'00075+'!C36+'00086+'!C36+'00868+'!C36+'00224+'!C36+'00207+'!C36+'00854'!C36+'00317'!C36+'01045'!C36+'00490'!C36+'00424'!C36+'00853'!C36+'00494'!C36+'00855'!C36+'01152'!C36</f>
        <v>137</v>
      </c>
      <c r="D36" s="109">
        <f>ОПЕРУ!D36+'00075+'!D36+'00086+'!D36+'00868+'!D36+'00224+'!D36+'00207+'!D36+'00854'!D36+'00317'!D36+'01045'!D36+'00490'!D36+'00424'!D36+'00853'!D36+'00494'!D36+'00855'!D36+'01152'!D36</f>
        <v>164400</v>
      </c>
      <c r="E36" s="109">
        <f>ОПЕРУ!E36+'00075+'!E36+'00086+'!E36+'00868+'!E36+'00224+'!E36+'00207+'!E36+'00854'!E36+'00317'!E36+'01045'!E36+'00490'!E36+'00424'!E36+'00853'!E36+'00494'!E36+'00855'!E36+'01152'!E36</f>
        <v>0</v>
      </c>
      <c r="F36" s="154">
        <f>ОПЕРУ!F36+'00075+'!F36+'00086+'!F36+'00868+'!F36+'00224+'!F36+'00207+'!F36+'00854'!F36+'00317'!F36+'01045'!F36+'00490'!F36+'00424'!F36+'00853'!F36+'00494'!F36+'00855'!F36+'01152'!F36</f>
        <v>0</v>
      </c>
      <c r="H36" s="35"/>
      <c r="I36" s="35"/>
      <c r="J36" s="35"/>
      <c r="K36" s="35"/>
    </row>
    <row r="37" spans="1:11" s="32" customFormat="1" x14ac:dyDescent="0.2">
      <c r="A37" s="25"/>
      <c r="B37" s="24" t="s">
        <v>44</v>
      </c>
      <c r="C37" s="109">
        <f>ОПЕРУ!C37+'00075+'!C37+'00086+'!C37+'00868+'!C37+'00224+'!C37+'00207+'!C37+'00854'!C37+'00317'!C37+'01045'!C37+'00490'!C37+'00424'!C37+'00853'!C37+'00494'!C37+'00855'!C37+'01152'!C37</f>
        <v>89</v>
      </c>
      <c r="D37" s="109">
        <f>ОПЕРУ!D37+'00075+'!D37+'00086+'!D37+'00868+'!D37+'00224+'!D37+'00207+'!D37+'00854'!D37+'00317'!D37+'01045'!D37+'00490'!D37+'00424'!D37+'00853'!D37+'00494'!D37+'00855'!D37+'01152'!D37</f>
        <v>178000</v>
      </c>
      <c r="E37" s="109">
        <f>ОПЕРУ!E37+'00075+'!E37+'00086+'!E37+'00868+'!E37+'00224+'!E37+'00207+'!E37+'00854'!E37+'00317'!E37+'01045'!E37+'00490'!E37+'00424'!E37+'00853'!E37+'00494'!E37+'00855'!E37+'01152'!E37</f>
        <v>0</v>
      </c>
      <c r="F37" s="154">
        <f>ОПЕРУ!F37+'00075+'!F37+'00086+'!F37+'00868+'!F37+'00224+'!F37+'00207+'!F37+'00854'!F37+'00317'!F37+'01045'!F37+'00490'!F37+'00424'!F37+'00853'!F37+'00494'!F37+'00855'!F37+'01152'!F37</f>
        <v>0</v>
      </c>
      <c r="H37" s="35"/>
      <c r="I37" s="35"/>
      <c r="J37" s="35"/>
      <c r="K37" s="35"/>
    </row>
    <row r="38" spans="1:11" s="32" customFormat="1" x14ac:dyDescent="0.2">
      <c r="A38" s="25"/>
      <c r="B38" s="24" t="s">
        <v>45</v>
      </c>
      <c r="C38" s="109">
        <f>ОПЕРУ!C38+'00075+'!C38+'00086+'!C38+'00868+'!C38+'00224+'!C38+'00207+'!C38+'00854'!C38+'00317'!C38+'01045'!C38+'00490'!C38+'00424'!C38+'00853'!C38+'00494'!C38+'00855'!C38+'01152'!C38</f>
        <v>63</v>
      </c>
      <c r="D38" s="109">
        <f>ОПЕРУ!D38+'00075+'!D38+'00086+'!D38+'00868+'!D38+'00224+'!D38+'00207+'!D38+'00854'!D38+'00317'!D38+'01045'!D38+'00490'!D38+'00424'!D38+'00853'!D38+'00494'!D38+'00855'!D38+'01152'!D38</f>
        <v>472500</v>
      </c>
      <c r="E38" s="109">
        <f>ОПЕРУ!E38+'00075+'!E38+'00086+'!E38+'00868+'!E38+'00224+'!E38+'00207+'!E38+'00854'!E38+'00317'!E38+'01045'!E38+'00490'!E38+'00424'!E38+'00853'!E38+'00494'!E38+'00855'!E38+'01152'!E38</f>
        <v>0</v>
      </c>
      <c r="F38" s="154">
        <f>ОПЕРУ!F38+'00075+'!F38+'00086+'!F38+'00868+'!F38+'00224+'!F38+'00207+'!F38+'00854'!F38+'00317'!F38+'01045'!F38+'00490'!F38+'00424'!F38+'00853'!F38+'00494'!F38+'00855'!F38+'01152'!F38</f>
        <v>0</v>
      </c>
      <c r="H38" s="35"/>
      <c r="I38" s="35"/>
      <c r="J38" s="35"/>
      <c r="K38" s="35"/>
    </row>
    <row r="39" spans="1:11" s="32" customFormat="1" x14ac:dyDescent="0.2">
      <c r="A39" s="25"/>
      <c r="B39" s="24" t="s">
        <v>46</v>
      </c>
      <c r="C39" s="109">
        <f>ОПЕРУ!C39+'00075+'!C39+'00086+'!C39+'00868+'!C39+'00224+'!C39+'00207+'!C39+'00854'!C39+'00317'!C39+'01045'!C39+'00490'!C39+'00424'!C39+'00853'!C39+'00494'!C39+'00855'!C39+'01152'!C39</f>
        <v>21</v>
      </c>
      <c r="D39" s="109">
        <f>ОПЕРУ!D39+'00075+'!D39+'00086+'!D39+'00868+'!D39+'00224+'!D39+'00207+'!D39+'00854'!D39+'00317'!D39+'01045'!D39+'00490'!D39+'00424'!D39+'00853'!D39+'00494'!D39+'00855'!D39+'01152'!D39</f>
        <v>189000</v>
      </c>
      <c r="E39" s="109">
        <f>ОПЕРУ!E39+'00075+'!E39+'00086+'!E39+'00868+'!E39+'00224+'!E39+'00207+'!E39+'00854'!E39+'00317'!E39+'01045'!E39+'00490'!E39+'00424'!E39+'00853'!E39+'00494'!E39+'00855'!E39+'01152'!E39</f>
        <v>0</v>
      </c>
      <c r="F39" s="154">
        <f>ОПЕРУ!F39+'00075+'!F39+'00086+'!F39+'00868+'!F39+'00224+'!F39+'00207+'!F39+'00854'!F39+'00317'!F39+'01045'!F39+'00490'!F39+'00424'!F39+'00853'!F39+'00494'!F39+'00855'!F39+'01152'!F39</f>
        <v>0</v>
      </c>
      <c r="H39" s="35"/>
      <c r="I39" s="35"/>
      <c r="J39" s="35"/>
      <c r="K39" s="35"/>
    </row>
    <row r="40" spans="1:11" s="32" customFormat="1" x14ac:dyDescent="0.2">
      <c r="A40" s="25"/>
      <c r="B40" s="24" t="s">
        <v>47</v>
      </c>
      <c r="C40" s="109">
        <f>ОПЕРУ!C40+'00075+'!C40+'00086+'!C40+'00868+'!C40+'00224+'!C40+'00207+'!C40+'00854'!C40+'00317'!C40+'01045'!C40+'00490'!C40+'00424'!C40+'00853'!C40+'00494'!C40+'00855'!C40+'01152'!C40</f>
        <v>124</v>
      </c>
      <c r="D40" s="109">
        <f>ОПЕРУ!D40+'00075+'!D40+'00086+'!D40+'00868+'!D40+'00224+'!D40+'00207+'!D40+'00854'!D40+'00317'!D40+'01045'!D40+'00490'!D40+'00424'!D40+'00853'!D40+'00494'!D40+'00855'!D40+'01152'!D40</f>
        <v>186000</v>
      </c>
      <c r="E40" s="109">
        <f>ОПЕРУ!E40+'00075+'!E40+'00086+'!E40+'00868+'!E40+'00224+'!E40+'00207+'!E40+'00854'!E40+'00317'!E40+'01045'!E40+'00490'!E40+'00424'!E40+'00853'!E40+'00494'!E40+'00855'!E40+'01152'!E40</f>
        <v>0</v>
      </c>
      <c r="F40" s="154">
        <f>ОПЕРУ!F40+'00075+'!F40+'00086+'!F40+'00868+'!F40+'00224+'!F40+'00207+'!F40+'00854'!F40+'00317'!F40+'01045'!F40+'00490'!F40+'00424'!F40+'00853'!F40+'00494'!F40+'00855'!F40+'01152'!F40</f>
        <v>0</v>
      </c>
      <c r="H40" s="35"/>
      <c r="I40" s="35"/>
      <c r="J40" s="35"/>
      <c r="K40" s="35"/>
    </row>
    <row r="41" spans="1:11" s="32" customFormat="1" x14ac:dyDescent="0.2">
      <c r="A41" s="25"/>
      <c r="B41" s="24" t="s">
        <v>48</v>
      </c>
      <c r="C41" s="109">
        <f>ОПЕРУ!C41+'00075+'!C41+'00086+'!C41+'00868+'!C41+'00224+'!C41+'00207+'!C41+'00854'!C41+'00317'!C41+'01045'!C41+'00490'!C41+'00424'!C41+'00853'!C41+'00494'!C41+'00855'!C41+'01152'!C41</f>
        <v>508</v>
      </c>
      <c r="D41" s="109">
        <f>ОПЕРУ!D41+'00075+'!D41+'00086+'!D41+'00868+'!D41+'00224+'!D41+'00207+'!D41+'00854'!D41+'00317'!D41+'01045'!D41+'00490'!D41+'00424'!D41+'00853'!D41+'00494'!D41+'00855'!D41+'01152'!D41</f>
        <v>406400</v>
      </c>
      <c r="E41" s="109">
        <f>ОПЕРУ!E41+'00075+'!E41+'00086+'!E41+'00868+'!E41+'00224+'!E41+'00207+'!E41+'00854'!E41+'00317'!E41+'01045'!E41+'00490'!E41+'00424'!E41+'00853'!E41+'00494'!E41+'00855'!E41+'01152'!E41</f>
        <v>0</v>
      </c>
      <c r="F41" s="154">
        <f>ОПЕРУ!F41+'00075+'!F41+'00086+'!F41+'00868+'!F41+'00224+'!F41+'00207+'!F41+'00854'!F41+'00317'!F41+'01045'!F41+'00490'!F41+'00424'!F41+'00853'!F41+'00494'!F41+'00855'!F41+'01152'!F41</f>
        <v>0</v>
      </c>
      <c r="H41" s="35"/>
      <c r="I41" s="35"/>
      <c r="J41" s="35"/>
      <c r="K41" s="35"/>
    </row>
    <row r="42" spans="1:11" s="32" customFormat="1" x14ac:dyDescent="0.2">
      <c r="A42" s="25"/>
      <c r="B42" s="24" t="s">
        <v>49</v>
      </c>
      <c r="C42" s="109">
        <f>ОПЕРУ!C42+'00075+'!C42+'00086+'!C42+'00868+'!C42+'00224+'!C42+'00207+'!C42+'00854'!C42+'00317'!C42+'01045'!C42+'00490'!C42+'00424'!C42+'00853'!C42+'00494'!C42+'00855'!C42+'01152'!C42</f>
        <v>2</v>
      </c>
      <c r="D42" s="109">
        <f>ОПЕРУ!D42+'00075+'!D42+'00086+'!D42+'00868+'!D42+'00224+'!D42+'00207+'!D42+'00854'!D42+'00317'!D42+'01045'!D42+'00490'!D42+'00424'!D42+'00853'!D42+'00494'!D42+'00855'!D42+'01152'!D42</f>
        <v>3000</v>
      </c>
      <c r="E42" s="109">
        <f>ОПЕРУ!E42+'00075+'!E42+'00086+'!E42+'00868+'!E42+'00224+'!E42+'00207+'!E42+'00854'!E42+'00317'!E42+'01045'!E42+'00490'!E42+'00424'!E42+'00853'!E42+'00494'!E42+'00855'!E42+'01152'!E42</f>
        <v>0</v>
      </c>
      <c r="F42" s="154">
        <f>ОПЕРУ!F42+'00075+'!F42+'00086+'!F42+'00868+'!F42+'00224+'!F42+'00207+'!F42+'00854'!F42+'00317'!F42+'01045'!F42+'00490'!F42+'00424'!F42+'00853'!F42+'00494'!F42+'00855'!F42+'01152'!F42</f>
        <v>0</v>
      </c>
      <c r="H42" s="35"/>
      <c r="I42" s="35"/>
      <c r="J42" s="35"/>
      <c r="K42" s="35"/>
    </row>
    <row r="43" spans="1:11" s="32" customFormat="1" x14ac:dyDescent="0.2">
      <c r="A43" s="25"/>
      <c r="B43" s="24" t="s">
        <v>50</v>
      </c>
      <c r="C43" s="109">
        <f>ОПЕРУ!C43+'00075+'!C43+'00086+'!C43+'00868+'!C43+'00224+'!C43+'00207+'!C43+'00854'!C43+'00317'!C43+'01045'!C43+'00490'!C43+'00424'!C43+'00853'!C43+'00494'!C43+'00855'!C43+'01152'!C43</f>
        <v>42</v>
      </c>
      <c r="D43" s="109">
        <f>ОПЕРУ!D43+'00075+'!D43+'00086+'!D43+'00868+'!D43+'00224+'!D43+'00207+'!D43+'00854'!D43+'00317'!D43+'01045'!D43+'00490'!D43+'00424'!D43+'00853'!D43+'00494'!D43+'00855'!D43+'01152'!D43</f>
        <v>126000</v>
      </c>
      <c r="E43" s="109">
        <f>ОПЕРУ!E43+'00075+'!E43+'00086+'!E43+'00868+'!E43+'00224+'!E43+'00207+'!E43+'00854'!E43+'00317'!E43+'01045'!E43+'00490'!E43+'00424'!E43+'00853'!E43+'00494'!E43+'00855'!E43+'01152'!E43</f>
        <v>0</v>
      </c>
      <c r="F43" s="154">
        <f>ОПЕРУ!F43+'00075+'!F43+'00086+'!F43+'00868+'!F43+'00224+'!F43+'00207+'!F43+'00854'!F43+'00317'!F43+'01045'!F43+'00490'!F43+'00424'!F43+'00853'!F43+'00494'!F43+'00855'!F43+'01152'!F43</f>
        <v>0</v>
      </c>
      <c r="H43" s="35"/>
      <c r="I43" s="35"/>
      <c r="J43" s="35"/>
      <c r="K43" s="35"/>
    </row>
    <row r="44" spans="1:11" s="32" customFormat="1" x14ac:dyDescent="0.2">
      <c r="A44" s="25"/>
      <c r="B44" s="24" t="s">
        <v>51</v>
      </c>
      <c r="C44" s="109">
        <f>ОПЕРУ!C44+'00075+'!C44+'00086+'!C44+'00868+'!C44+'00224+'!C44+'00207+'!C44+'00854'!C44+'00317'!C44+'01045'!C44+'00490'!C44+'00424'!C44+'00853'!C44+'00494'!C44+'00855'!C44+'01152'!C44</f>
        <v>31</v>
      </c>
      <c r="D44" s="109">
        <f>ОПЕРУ!D44+'00075+'!D44+'00086+'!D44+'00868+'!D44+'00224+'!D44+'00207+'!D44+'00854'!D44+'00317'!D44+'01045'!D44+'00490'!D44+'00424'!D44+'00853'!D44+'00494'!D44+'00855'!D44+'01152'!D44</f>
        <v>124000</v>
      </c>
      <c r="E44" s="109">
        <f>ОПЕРУ!E44+'00075+'!E44+'00086+'!E44+'00868+'!E44+'00224+'!E44+'00207+'!E44+'00854'!E44+'00317'!E44+'01045'!E44+'00490'!E44+'00424'!E44+'00853'!E44+'00494'!E44+'00855'!E44+'01152'!E44</f>
        <v>0</v>
      </c>
      <c r="F44" s="154">
        <f>ОПЕРУ!F44+'00075+'!F44+'00086+'!F44+'00868+'!F44+'00224+'!F44+'00207+'!F44+'00854'!F44+'00317'!F44+'01045'!F44+'00490'!F44+'00424'!F44+'00853'!F44+'00494'!F44+'00855'!F44+'01152'!F44</f>
        <v>0</v>
      </c>
      <c r="H44" s="35"/>
      <c r="I44" s="35"/>
      <c r="J44" s="35"/>
      <c r="K44" s="35"/>
    </row>
    <row r="45" spans="1:11" s="32" customFormat="1" x14ac:dyDescent="0.2">
      <c r="A45" s="25"/>
      <c r="B45" s="24" t="s">
        <v>52</v>
      </c>
      <c r="C45" s="109">
        <f>ОПЕРУ!C45+'00075+'!C45+'00086+'!C45+'00868+'!C45+'00224+'!C45+'00207+'!C45+'00854'!C45+'00317'!C45+'01045'!C45+'00490'!C45+'00424'!C45+'00853'!C45+'00494'!C45+'00855'!C45+'01152'!C45</f>
        <v>196</v>
      </c>
      <c r="D45" s="109">
        <f>ОПЕРУ!D45+'00075+'!D45+'00086+'!D45+'00868+'!D45+'00224+'!D45+'00207+'!D45+'00854'!D45+'00317'!D45+'01045'!D45+'00490'!D45+'00424'!D45+'00853'!D45+'00494'!D45+'00855'!D45+'01152'!D45</f>
        <v>588000</v>
      </c>
      <c r="E45" s="109">
        <f>ОПЕРУ!E45+'00075+'!E45+'00086+'!E45+'00868+'!E45+'00224+'!E45+'00207+'!E45+'00854'!E45+'00317'!E45+'01045'!E45+'00490'!E45+'00424'!E45+'00853'!E45+'00494'!E45+'00855'!E45+'01152'!E45</f>
        <v>0</v>
      </c>
      <c r="F45" s="154">
        <f>ОПЕРУ!F45+'00075+'!F45+'00086+'!F45+'00868+'!F45+'00224+'!F45+'00207+'!F45+'00854'!F45+'00317'!F45+'01045'!F45+'00490'!F45+'00424'!F45+'00853'!F45+'00494'!F45+'00855'!F45+'01152'!F45</f>
        <v>0</v>
      </c>
      <c r="H45" s="35"/>
      <c r="I45" s="35"/>
      <c r="J45" s="35"/>
      <c r="K45" s="35"/>
    </row>
    <row r="46" spans="1:11" s="32" customFormat="1" x14ac:dyDescent="0.2">
      <c r="A46" s="25"/>
      <c r="B46" s="24" t="s">
        <v>53</v>
      </c>
      <c r="C46" s="109">
        <f>ОПЕРУ!C46+'00075+'!C46+'00086+'!C46+'00868+'!C46+'00224+'!C46+'00207+'!C46+'00854'!C46+'00317'!C46+'01045'!C46+'00490'!C46+'00424'!C46+'00853'!C46+'00494'!C46+'00855'!C46+'01152'!C46</f>
        <v>113</v>
      </c>
      <c r="D46" s="109">
        <f>ОПЕРУ!D46+'00075+'!D46+'00086+'!D46+'00868+'!D46+'00224+'!D46+'00207+'!D46+'00854'!D46+'00317'!D46+'01045'!D46+'00490'!D46+'00424'!D46+'00853'!D46+'00494'!D46+'00855'!D46+'01152'!D46</f>
        <v>339000</v>
      </c>
      <c r="E46" s="109">
        <f>ОПЕРУ!E46+'00075+'!E46+'00086+'!E46+'00868+'!E46+'00224+'!E46+'00207+'!E46+'00854'!E46+'00317'!E46+'01045'!E46+'00490'!E46+'00424'!E46+'00853'!E46+'00494'!E46+'00855'!E46+'01152'!E46</f>
        <v>0</v>
      </c>
      <c r="F46" s="154">
        <f>ОПЕРУ!F46+'00075+'!F46+'00086+'!F46+'00868+'!F46+'00224+'!F46+'00207+'!F46+'00854'!F46+'00317'!F46+'01045'!F46+'00490'!F46+'00424'!F46+'00853'!F46+'00494'!F46+'00855'!F46+'01152'!F46</f>
        <v>0</v>
      </c>
      <c r="H46" s="35"/>
      <c r="I46" s="35"/>
      <c r="J46" s="35"/>
      <c r="K46" s="35"/>
    </row>
    <row r="47" spans="1:11" s="32" customFormat="1" ht="13.5" thickBot="1" x14ac:dyDescent="0.25">
      <c r="A47" s="25"/>
      <c r="B47" s="24" t="s">
        <v>54</v>
      </c>
      <c r="C47" s="109">
        <f>ОПЕРУ!C47+'00075+'!C47+'00086+'!C47+'00868+'!C47+'00224+'!C47+'00207+'!C47+'00854'!C47+'00317'!C47+'01045'!C47+'00490'!C47+'00424'!C47+'00853'!C47+'00494'!C47+'00855'!C47+'01152'!C47</f>
        <v>208</v>
      </c>
      <c r="D47" s="109">
        <f>ОПЕРУ!D47+'00075+'!D47+'00086+'!D47+'00868+'!D47+'00224+'!D47+'00207+'!D47+'00854'!D47+'00317'!D47+'01045'!D47+'00490'!D47+'00424'!D47+'00853'!D47+'00494'!D47+'00855'!D47+'01152'!D47</f>
        <v>936000</v>
      </c>
      <c r="E47" s="109">
        <f>ОПЕРУ!E47+'00075+'!E47+'00086+'!E47+'00868+'!E47+'00224+'!E47+'00207+'!E47+'00854'!E47+'00317'!E47+'01045'!E47+'00490'!E47+'00424'!E47+'00853'!E47+'00494'!E47+'00855'!E47+'01152'!E47</f>
        <v>0</v>
      </c>
      <c r="F47" s="154">
        <f>ОПЕРУ!F47+'00075+'!F47+'00086+'!F47+'00868+'!F47+'00224+'!F47+'00207+'!F47+'00854'!F47+'00317'!F47+'01045'!F47+'00490'!F47+'00424'!F47+'00853'!F47+'00494'!F47+'00855'!F47+'01152'!F47</f>
        <v>0</v>
      </c>
      <c r="H47" s="35"/>
      <c r="I47" s="35"/>
      <c r="J47" s="35"/>
      <c r="K47" s="35"/>
    </row>
    <row r="48" spans="1:11" ht="13.5" thickBot="1" x14ac:dyDescent="0.25">
      <c r="A48" s="108"/>
      <c r="B48" s="125" t="s">
        <v>154</v>
      </c>
      <c r="C48" s="126">
        <f>SUM(C14:C47)</f>
        <v>4912</v>
      </c>
      <c r="D48" s="127">
        <f>SUM(D14:D47)</f>
        <v>13008000</v>
      </c>
      <c r="E48" s="127">
        <f>SUM(E14:E47)</f>
        <v>0</v>
      </c>
      <c r="F48" s="127">
        <f>SUM(F14:F47)</f>
        <v>0</v>
      </c>
      <c r="G48" s="45"/>
      <c r="H48" s="35"/>
      <c r="I48" s="46"/>
      <c r="J48" s="35"/>
      <c r="K48" s="35"/>
    </row>
    <row r="49" spans="1:11" s="32" customFormat="1" x14ac:dyDescent="0.2">
      <c r="A49" s="59" t="s">
        <v>6</v>
      </c>
      <c r="B49" s="129" t="s">
        <v>61</v>
      </c>
      <c r="C49" s="109"/>
      <c r="D49" s="109"/>
      <c r="E49" s="109"/>
      <c r="F49" s="154"/>
      <c r="G49" s="35"/>
      <c r="H49" s="35"/>
      <c r="I49" s="35"/>
      <c r="J49" s="35"/>
      <c r="K49" s="35"/>
    </row>
    <row r="50" spans="1:11" s="32" customFormat="1" x14ac:dyDescent="0.2">
      <c r="A50" s="25"/>
      <c r="B50" s="24" t="s">
        <v>64</v>
      </c>
      <c r="C50" s="109">
        <f>ОПЕРУ!C50+'00075+'!C50+'00086+'!C50+'00868+'!C50+'00224+'!C50+'00207+'!C50+'00854'!C50+'00317'!C50+'01045'!C50+'00490'!C50+'00424'!C50+'00853'!C50+'00494'!C50+'00855'!C50+'01152'!C50</f>
        <v>190</v>
      </c>
      <c r="D50" s="109">
        <f>ОПЕРУ!D50+'00075+'!D50+'00086+'!D50+'00868+'!D50+'00224+'!D50+'00207+'!D50+'00854'!D50+'00317'!D50+'01045'!D50+'00490'!D50+'00424'!D50+'00853'!D50+'00494'!D50+'00855'!D50+'01152'!D50</f>
        <v>1520000</v>
      </c>
      <c r="E50" s="109">
        <f>ОПЕРУ!E50+'00075+'!E50+'00086+'!E50+'00868+'!E50+'00224+'!E50+'00207+'!E50+'00854'!E50+'00317'!E50+'01045'!E50+'00490'!E50+'00424'!E50+'00853'!E50+'00494'!E50+'00855'!E50+'01152'!E50</f>
        <v>0</v>
      </c>
      <c r="F50" s="154">
        <f>ОПЕРУ!F50+'00075+'!F50+'00086+'!F50+'00868+'!F50+'00224+'!F50+'00207+'!F50+'00854'!F50+'00317'!F50+'01045'!F50+'00490'!F50+'00424'!F50+'00853'!F50+'00494'!F50+'00855'!F50+'01152'!F50</f>
        <v>0</v>
      </c>
      <c r="H50" s="35"/>
      <c r="I50" s="35"/>
      <c r="J50" s="35"/>
      <c r="K50" s="35"/>
    </row>
    <row r="51" spans="1:11" s="32" customFormat="1" x14ac:dyDescent="0.2">
      <c r="A51" s="25"/>
      <c r="B51" s="24" t="s">
        <v>65</v>
      </c>
      <c r="C51" s="109">
        <f>ОПЕРУ!C51+'00075+'!C51+'00086+'!C51+'00868+'!C51+'00224+'!C51+'00207+'!C51+'00854'!C51+'00317'!C51+'01045'!C51+'00490'!C51+'00424'!C51+'00853'!C51+'00494'!C51+'00855'!C51+'01152'!C51</f>
        <v>49</v>
      </c>
      <c r="D51" s="109">
        <f>ОПЕРУ!D51+'00075+'!D51+'00086+'!D51+'00868+'!D51+'00224+'!D51+'00207+'!D51+'00854'!D51+'00317'!D51+'01045'!D51+'00490'!D51+'00424'!D51+'00853'!D51+'00494'!D51+'00855'!D51+'01152'!D51</f>
        <v>882000</v>
      </c>
      <c r="E51" s="109">
        <f>ОПЕРУ!E51+'00075+'!E51+'00086+'!E51+'00868+'!E51+'00224+'!E51+'00207+'!E51+'00854'!E51+'00317'!E51+'01045'!E51+'00490'!E51+'00424'!E51+'00853'!E51+'00494'!E51+'00855'!E51+'01152'!E51</f>
        <v>0</v>
      </c>
      <c r="F51" s="154">
        <f>ОПЕРУ!F51+'00075+'!F51+'00086+'!F51+'00868+'!F51+'00224+'!F51+'00207+'!F51+'00854'!F51+'00317'!F51+'01045'!F51+'00490'!F51+'00424'!F51+'00853'!F51+'00494'!F51+'00855'!F51+'01152'!F51</f>
        <v>0</v>
      </c>
      <c r="H51" s="35"/>
      <c r="I51" s="35"/>
      <c r="J51" s="35"/>
      <c r="K51" s="35"/>
    </row>
    <row r="52" spans="1:11" s="32" customFormat="1" x14ac:dyDescent="0.2">
      <c r="A52" s="25"/>
      <c r="B52" s="132" t="s">
        <v>66</v>
      </c>
      <c r="C52" s="109">
        <f>ОПЕРУ!C52+'00075+'!C52+'00086+'!C52+'00868+'!C52+'00224+'!C52+'00207+'!C52+'00854'!C52+'00317'!C52+'01045'!C52+'00490'!C52+'00424'!C52+'00853'!C52+'00494'!C52+'00855'!C52+'01152'!C52</f>
        <v>53</v>
      </c>
      <c r="D52" s="109">
        <f>ОПЕРУ!D52+'00075+'!D52+'00086+'!D52+'00868+'!D52+'00224+'!D52+'00207+'!D52+'00854'!D52+'00317'!D52+'01045'!D52+'00490'!D52+'00424'!D52+'00853'!D52+'00494'!D52+'00855'!D52+'01152'!D52</f>
        <v>219000</v>
      </c>
      <c r="E52" s="109">
        <f>ОПЕРУ!E52+'00075+'!E52+'00086+'!E52+'00868+'!E52+'00224+'!E52+'00207+'!E52+'00854'!E52+'00317'!E52+'01045'!E52+'00490'!E52+'00424'!E52+'00853'!E52+'00494'!E52+'00855'!E52+'01152'!E52</f>
        <v>0</v>
      </c>
      <c r="F52" s="154">
        <f>ОПЕРУ!F52+'00075+'!F52+'00086+'!F52+'00868+'!F52+'00224+'!F52+'00207+'!F52+'00854'!F52+'00317'!F52+'01045'!F52+'00490'!F52+'00424'!F52+'00853'!F52+'00494'!F52+'00855'!F52+'01152'!F52</f>
        <v>0</v>
      </c>
      <c r="H52" s="35"/>
      <c r="I52" s="35"/>
      <c r="J52" s="35"/>
      <c r="K52" s="35"/>
    </row>
    <row r="53" spans="1:11" s="32" customFormat="1" x14ac:dyDescent="0.2">
      <c r="A53" s="25"/>
      <c r="B53" s="24" t="s">
        <v>67</v>
      </c>
      <c r="C53" s="109">
        <f>ОПЕРУ!C53+'00075+'!C53+'00086+'!C53+'00868+'!C53+'00224+'!C53+'00207+'!C53+'00854'!C53+'00317'!C53+'01045'!C53+'00490'!C53+'00424'!C53+'00853'!C53+'00494'!C53+'00855'!C53+'01152'!C53</f>
        <v>101</v>
      </c>
      <c r="D53" s="109">
        <f>ОПЕРУ!D53+'00075+'!D53+'00086+'!D53+'00868+'!D53+'00224+'!D53+'00207+'!D53+'00854'!D53+'00317'!D53+'01045'!D53+'00490'!D53+'00424'!D53+'00853'!D53+'00494'!D53+'00855'!D53+'01152'!D53</f>
        <v>606000</v>
      </c>
      <c r="E53" s="109">
        <f>ОПЕРУ!E53+'00075+'!E53+'00086+'!E53+'00868+'!E53+'00224+'!E53+'00207+'!E53+'00854'!E53+'00317'!E53+'01045'!E53+'00490'!E53+'00424'!E53+'00853'!E53+'00494'!E53+'00855'!E53+'01152'!E53</f>
        <v>0</v>
      </c>
      <c r="F53" s="154">
        <f>ОПЕРУ!F53+'00075+'!F53+'00086+'!F53+'00868+'!F53+'00224+'!F53+'00207+'!F53+'00854'!F53+'00317'!F53+'01045'!F53+'00490'!F53+'00424'!F53+'00853'!F53+'00494'!F53+'00855'!F53+'01152'!F53</f>
        <v>0</v>
      </c>
      <c r="H53" s="35"/>
      <c r="I53" s="35"/>
      <c r="J53" s="35"/>
      <c r="K53" s="35"/>
    </row>
    <row r="54" spans="1:11" s="32" customFormat="1" x14ac:dyDescent="0.2">
      <c r="A54" s="25"/>
      <c r="B54" s="24" t="s">
        <v>68</v>
      </c>
      <c r="C54" s="109">
        <f>ОПЕРУ!C54+'00075+'!C54+'00086+'!C54+'00868+'!C54+'00224+'!C54+'00207+'!C54+'00854'!C54+'00317'!C54+'01045'!C54+'00490'!C54+'00424'!C54+'00853'!C54+'00494'!C54+'00855'!C54+'01152'!C54</f>
        <v>29</v>
      </c>
      <c r="D54" s="109">
        <f>ОПЕРУ!D54+'00075+'!D54+'00086+'!D54+'00868+'!D54+'00224+'!D54+'00207+'!D54+'00854'!D54+'00317'!D54+'01045'!D54+'00490'!D54+'00424'!D54+'00853'!D54+'00494'!D54+'00855'!D54+'01152'!D54</f>
        <v>232000</v>
      </c>
      <c r="E54" s="109">
        <f>ОПЕРУ!E54+'00075+'!E54+'00086+'!E54+'00868+'!E54+'00224+'!E54+'00207+'!E54+'00854'!E54+'00317'!E54+'01045'!E54+'00490'!E54+'00424'!E54+'00853'!E54+'00494'!E54+'00855'!E54+'01152'!E54</f>
        <v>0</v>
      </c>
      <c r="F54" s="154">
        <f>ОПЕРУ!F54+'00075+'!F54+'00086+'!F54+'00868+'!F54+'00224+'!F54+'00207+'!F54+'00854'!F54+'00317'!F54+'01045'!F54+'00490'!F54+'00424'!F54+'00853'!F54+'00494'!F54+'00855'!F54+'01152'!F54</f>
        <v>0</v>
      </c>
      <c r="H54" s="35"/>
      <c r="I54" s="35"/>
      <c r="J54" s="35"/>
      <c r="K54" s="35"/>
    </row>
    <row r="55" spans="1:11" s="32" customFormat="1" x14ac:dyDescent="0.2">
      <c r="A55" s="25"/>
      <c r="B55" s="24" t="s">
        <v>69</v>
      </c>
      <c r="C55" s="109">
        <f>ОПЕРУ!C55+'00075+'!C55+'00086+'!C55+'00868+'!C55+'00224+'!C55+'00207+'!C55+'00854'!C55+'00317'!C55+'01045'!C55+'00490'!C55+'00424'!C55+'00853'!C55+'00494'!C55+'00855'!C55+'01152'!C55</f>
        <v>4</v>
      </c>
      <c r="D55" s="109">
        <f>ОПЕРУ!D55+'00075+'!D55+'00086+'!D55+'00868+'!D55+'00224+'!D55+'00207+'!D55+'00854'!D55+'00317'!D55+'01045'!D55+'00490'!D55+'00424'!D55+'00853'!D55+'00494'!D55+'00855'!D55+'01152'!D55</f>
        <v>20000</v>
      </c>
      <c r="E55" s="109">
        <f>ОПЕРУ!E55+'00075+'!E55+'00086+'!E55+'00868+'!E55+'00224+'!E55+'00207+'!E55+'00854'!E55+'00317'!E55+'01045'!E55+'00490'!E55+'00424'!E55+'00853'!E55+'00494'!E55+'00855'!E55+'01152'!E55</f>
        <v>0</v>
      </c>
      <c r="F55" s="154">
        <f>ОПЕРУ!F55+'00075+'!F55+'00086+'!F55+'00868+'!F55+'00224+'!F55+'00207+'!F55+'00854'!F55+'00317'!F55+'01045'!F55+'00490'!F55+'00424'!F55+'00853'!F55+'00494'!F55+'00855'!F55+'01152'!F55</f>
        <v>0</v>
      </c>
      <c r="H55" s="35"/>
      <c r="I55" s="35"/>
      <c r="J55" s="35"/>
      <c r="K55" s="35"/>
    </row>
    <row r="56" spans="1:11" s="32" customFormat="1" x14ac:dyDescent="0.2">
      <c r="A56" s="25"/>
      <c r="B56" s="24" t="s">
        <v>70</v>
      </c>
      <c r="C56" s="109">
        <f>ОПЕРУ!C56+'00075+'!C56+'00086+'!C56+'00868+'!C56+'00224+'!C56+'00207+'!C56+'00854'!C56+'00317'!C56+'01045'!C56+'00490'!C56+'00424'!C56+'00853'!C56+'00494'!C56+'00855'!C56+'01152'!C56</f>
        <v>2</v>
      </c>
      <c r="D56" s="109">
        <f>ОПЕРУ!D56+'00075+'!D56+'00086+'!D56+'00868+'!D56+'00224+'!D56+'00207+'!D56+'00854'!D56+'00317'!D56+'01045'!D56+'00490'!D56+'00424'!D56+'00853'!D56+'00494'!D56+'00855'!D56+'01152'!D56</f>
        <v>60000</v>
      </c>
      <c r="E56" s="109">
        <f>ОПЕРУ!E56+'00075+'!E56+'00086+'!E56+'00868+'!E56+'00224+'!E56+'00207+'!E56+'00854'!E56+'00317'!E56+'01045'!E56+'00490'!E56+'00424'!E56+'00853'!E56+'00494'!E56+'00855'!E56+'01152'!E56</f>
        <v>0</v>
      </c>
      <c r="F56" s="154">
        <f>ОПЕРУ!F56+'00075+'!F56+'00086+'!F56+'00868+'!F56+'00224+'!F56+'00207+'!F56+'00854'!F56+'00317'!F56+'01045'!F56+'00490'!F56+'00424'!F56+'00853'!F56+'00494'!F56+'00855'!F56+'01152'!F56</f>
        <v>0</v>
      </c>
      <c r="H56" s="35"/>
      <c r="I56" s="35"/>
      <c r="J56" s="35"/>
      <c r="K56" s="35"/>
    </row>
    <row r="57" spans="1:11" s="32" customFormat="1" x14ac:dyDescent="0.2">
      <c r="A57" s="57"/>
      <c r="B57" s="48" t="s">
        <v>71</v>
      </c>
      <c r="C57" s="109">
        <f>ОПЕРУ!C57+'00075+'!C57+'00086+'!C57+'00868+'!C57+'00224+'!C57+'00207+'!C57+'00854'!C57+'00317'!C57+'01045'!C57+'00490'!C57+'00424'!C57+'00853'!C57+'00494'!C57+'00855'!C57+'01152'!C57</f>
        <v>28</v>
      </c>
      <c r="D57" s="109">
        <f>ОПЕРУ!D57+'00075+'!D57+'00086+'!D57+'00868+'!D57+'00224+'!D57+'00207+'!D57+'00854'!D57+'00317'!D57+'01045'!D57+'00490'!D57+'00424'!D57+'00853'!D57+'00494'!D57+'00855'!D57+'01152'!D57</f>
        <v>280000</v>
      </c>
      <c r="E57" s="109">
        <f>ОПЕРУ!E57+'00075+'!E57+'00086+'!E57+'00868+'!E57+'00224+'!E57+'00207+'!E57+'00854'!E57+'00317'!E57+'01045'!E57+'00490'!E57+'00424'!E57+'00853'!E57+'00494'!E57+'00855'!E57+'01152'!E57</f>
        <v>0</v>
      </c>
      <c r="F57" s="154">
        <f>ОПЕРУ!F57+'00075+'!F57+'00086+'!F57+'00868+'!F57+'00224+'!F57+'00207+'!F57+'00854'!F57+'00317'!F57+'01045'!F57+'00490'!F57+'00424'!F57+'00853'!F57+'00494'!F57+'00855'!F57+'01152'!F57</f>
        <v>0</v>
      </c>
      <c r="H57" s="35"/>
      <c r="I57" s="35"/>
      <c r="J57" s="35"/>
      <c r="K57" s="35"/>
    </row>
    <row r="58" spans="1:11" s="32" customFormat="1" x14ac:dyDescent="0.2">
      <c r="A58" s="57"/>
      <c r="B58" s="48" t="s">
        <v>72</v>
      </c>
      <c r="C58" s="109">
        <f>ОПЕРУ!C58+'00075+'!C58+'00086+'!C58+'00868+'!C58+'00224+'!C58+'00207+'!C58+'00854'!C58+'00317'!C58+'01045'!C58+'00490'!C58+'00424'!C58+'00853'!C58+'00494'!C58+'00855'!C58+'01152'!C58</f>
        <v>3</v>
      </c>
      <c r="D58" s="109">
        <f>ОПЕРУ!D58+'00075+'!D58+'00086+'!D58+'00868+'!D58+'00224+'!D58+'00207+'!D58+'00854'!D58+'00317'!D58+'01045'!D58+'00490'!D58+'00424'!D58+'00853'!D58+'00494'!D58+'00855'!D58+'01152'!D58</f>
        <v>6000</v>
      </c>
      <c r="E58" s="109">
        <f>ОПЕРУ!E58+'00075+'!E58+'00086+'!E58+'00868+'!E58+'00224+'!E58+'00207+'!E58+'00854'!E58+'00317'!E58+'01045'!E58+'00490'!E58+'00424'!E58+'00853'!E58+'00494'!E58+'00855'!E58+'01152'!E58</f>
        <v>0</v>
      </c>
      <c r="F58" s="154">
        <f>ОПЕРУ!F58+'00075+'!F58+'00086+'!F58+'00868+'!F58+'00224+'!F58+'00207+'!F58+'00854'!F58+'00317'!F58+'01045'!F58+'00490'!F58+'00424'!F58+'00853'!F58+'00494'!F58+'00855'!F58+'01152'!F58</f>
        <v>0</v>
      </c>
      <c r="H58" s="35"/>
      <c r="I58" s="35"/>
      <c r="J58" s="35"/>
      <c r="K58" s="35"/>
    </row>
    <row r="59" spans="1:11" s="32" customFormat="1" ht="13.5" thickBot="1" x14ac:dyDescent="0.25">
      <c r="A59" s="307"/>
      <c r="B59" s="308" t="s">
        <v>73</v>
      </c>
      <c r="C59" s="109">
        <f>ОПЕРУ!C59+'00075+'!C59+'00086+'!C59+'00868+'!C59+'00224+'!C59+'00207+'!C59+'00854'!C59+'00317'!C59+'01045'!C59+'00490'!C59+'00424'!C59+'00853'!C59+'00494'!C59+'00855'!C59+'01152'!C59</f>
        <v>31</v>
      </c>
      <c r="D59" s="109">
        <f>ОПЕРУ!D59+'00075+'!D59+'00086+'!D59+'00868+'!D59+'00224+'!D59+'00207+'!D59+'00854'!D59+'00317'!D59+'01045'!D59+'00490'!D59+'00424'!D59+'00853'!D59+'00494'!D59+'00855'!D59+'01152'!D59</f>
        <v>14029500</v>
      </c>
      <c r="E59" s="109">
        <f>ОПЕРУ!E59+'00075+'!E59+'00086+'!E59+'00868+'!E59+'00224+'!E59+'00207+'!E59+'00854'!E59+'00317'!E59+'01045'!E59+'00490'!E59+'00424'!E59+'00853'!E59+'00494'!E59+'00855'!E59+'01152'!E59</f>
        <v>0</v>
      </c>
      <c r="F59" s="154">
        <f>ОПЕРУ!F59+'00075+'!F59+'00086+'!F59+'00868+'!F59+'00224+'!F59+'00207+'!F59+'00854'!F59+'00317'!F59+'01045'!F59+'00490'!F59+'00424'!F59+'00853'!F59+'00494'!F59+'00855'!F59+'01152'!F59</f>
        <v>0</v>
      </c>
      <c r="H59" s="35"/>
      <c r="I59" s="35"/>
      <c r="J59" s="35"/>
      <c r="K59" s="35"/>
    </row>
    <row r="60" spans="1:11" ht="13.5" thickBot="1" x14ac:dyDescent="0.25">
      <c r="A60" s="108"/>
      <c r="B60" s="125" t="s">
        <v>156</v>
      </c>
      <c r="C60" s="127">
        <f>SUM(C50:C59)</f>
        <v>490</v>
      </c>
      <c r="D60" s="127">
        <f>SUM(D50:D59)</f>
        <v>17854500</v>
      </c>
      <c r="E60" s="127">
        <f>SUM(E50:E59)</f>
        <v>0</v>
      </c>
      <c r="F60" s="127">
        <f>SUM(F50:F59)</f>
        <v>0</v>
      </c>
      <c r="G60" s="45"/>
      <c r="H60" s="35"/>
      <c r="I60" s="46"/>
      <c r="J60" s="35"/>
      <c r="K60" s="35"/>
    </row>
    <row r="61" spans="1:11" x14ac:dyDescent="0.2">
      <c r="A61" s="8" t="s">
        <v>7</v>
      </c>
      <c r="B61" s="10" t="s">
        <v>74</v>
      </c>
      <c r="C61" s="18"/>
      <c r="D61" s="18"/>
      <c r="E61" s="18"/>
      <c r="F61" s="399"/>
      <c r="G61" s="19"/>
      <c r="H61" s="35"/>
      <c r="I61" s="35"/>
      <c r="J61" s="35"/>
      <c r="K61" s="35"/>
    </row>
    <row r="62" spans="1:11" s="32" customFormat="1" x14ac:dyDescent="0.2">
      <c r="A62" s="25"/>
      <c r="B62" s="115" t="s">
        <v>75</v>
      </c>
      <c r="C62" s="109">
        <f>ОПЕРУ!C62+'00075+'!C62+'00086+'!C62+'00868+'!C62+'00224+'!C62+'00207+'!C62+'00854'!C62+'00317'!C62+'01045'!C62+'00490'!C62+'00424'!C62+'00853'!C62+'00494'!C62+'00855'!C62+'01152'!C62</f>
        <v>12</v>
      </c>
      <c r="D62" s="109">
        <f>ОПЕРУ!D62+'00075+'!D62+'00086+'!D62+'00868+'!D62+'00224+'!D62+'00207+'!D62+'00854'!D62+'00317'!D62+'01045'!D62+'00490'!D62+'00424'!D62+'00853'!D62+'00494'!D62+'00855'!D62+'01152'!D62</f>
        <v>1365000</v>
      </c>
      <c r="E62" s="109">
        <f>ОПЕРУ!E62+'00075+'!E62+'00086+'!E62+'00868+'!E62+'00224+'!E62+'00207+'!E62+'00854'!E62+'00317'!E62+'01045'!E62+'00490'!E62+'00424'!E62+'00853'!E62+'00494'!E62+'00855'!E62+'01152'!E62</f>
        <v>0</v>
      </c>
      <c r="F62" s="154">
        <f>ОПЕРУ!F62+'00075+'!F62+'00086+'!F62+'00868+'!F62+'00224+'!F62+'00207+'!F62+'00854'!F62+'00317'!F62+'01045'!F62+'00490'!F62+'00424'!F62+'00853'!F62+'00494'!F62+'00855'!F62+'01152'!F62</f>
        <v>0</v>
      </c>
      <c r="H62" s="35"/>
      <c r="I62" s="35"/>
      <c r="J62" s="35"/>
      <c r="K62" s="35"/>
    </row>
    <row r="63" spans="1:11" s="32" customFormat="1" x14ac:dyDescent="0.2">
      <c r="A63" s="25"/>
      <c r="B63" s="115" t="s">
        <v>76</v>
      </c>
      <c r="C63" s="109">
        <f>ОПЕРУ!C63+'00075+'!C63+'00086+'!C63+'00868+'!C63+'00224+'!C63+'00207+'!C63+'00854'!C63+'00317'!C63+'01045'!C63+'00490'!C63+'00424'!C63+'00853'!C63+'00494'!C63+'00855'!C63+'01152'!C63</f>
        <v>4</v>
      </c>
      <c r="D63" s="109">
        <f>ОПЕРУ!D63+'00075+'!D63+'00086+'!D63+'00868+'!D63+'00224+'!D63+'00207+'!D63+'00854'!D63+'00317'!D63+'01045'!D63+'00490'!D63+'00424'!D63+'00853'!D63+'00494'!D63+'00855'!D63+'01152'!D63</f>
        <v>60000</v>
      </c>
      <c r="E63" s="109">
        <f>ОПЕРУ!E63+'00075+'!E63+'00086+'!E63+'00868+'!E63+'00224+'!E63+'00207+'!E63+'00854'!E63+'00317'!E63+'01045'!E63+'00490'!E63+'00424'!E63+'00853'!E63+'00494'!E63+'00855'!E63+'01152'!E63</f>
        <v>0</v>
      </c>
      <c r="F63" s="154">
        <f>ОПЕРУ!F63+'00075+'!F63+'00086+'!F63+'00868+'!F63+'00224+'!F63+'00207+'!F63+'00854'!F63+'00317'!F63+'01045'!F63+'00490'!F63+'00424'!F63+'00853'!F63+'00494'!F63+'00855'!F63+'01152'!F63</f>
        <v>0</v>
      </c>
      <c r="H63" s="35"/>
      <c r="I63" s="35"/>
      <c r="J63" s="35"/>
      <c r="K63" s="35"/>
    </row>
    <row r="64" spans="1:11" s="32" customFormat="1" x14ac:dyDescent="0.2">
      <c r="A64" s="25"/>
      <c r="B64" s="115" t="s">
        <v>77</v>
      </c>
      <c r="C64" s="109">
        <f>ОПЕРУ!C64+'00075+'!C64+'00086+'!C64+'00868+'!C64+'00224+'!C64+'00207+'!C64+'00854'!C64+'00317'!C64+'01045'!C64+'00490'!C64+'00424'!C64+'00853'!C64+'00494'!C64+'00855'!C64+'01152'!C64</f>
        <v>50</v>
      </c>
      <c r="D64" s="109">
        <f>ОПЕРУ!D64+'00075+'!D64+'00086+'!D64+'00868+'!D64+'00224+'!D64+'00207+'!D64+'00854'!D64+'00317'!D64+'01045'!D64+'00490'!D64+'00424'!D64+'00853'!D64+'00494'!D64+'00855'!D64+'01152'!D64</f>
        <v>860000</v>
      </c>
      <c r="E64" s="109">
        <f>ОПЕРУ!E64+'00075+'!E64+'00086+'!E64+'00868+'!E64+'00224+'!E64+'00207+'!E64+'00854'!E64+'00317'!E64+'01045'!E64+'00490'!E64+'00424'!E64+'00853'!E64+'00494'!E64+'00855'!E64+'01152'!E64</f>
        <v>0</v>
      </c>
      <c r="F64" s="154">
        <f>ОПЕРУ!F64+'00075+'!F64+'00086+'!F64+'00868+'!F64+'00224+'!F64+'00207+'!F64+'00854'!F64+'00317'!F64+'01045'!F64+'00490'!F64+'00424'!F64+'00853'!F64+'00494'!F64+'00855'!F64+'01152'!F64</f>
        <v>0</v>
      </c>
      <c r="H64" s="35"/>
      <c r="I64" s="35"/>
      <c r="J64" s="35"/>
      <c r="K64" s="35"/>
    </row>
    <row r="65" spans="1:11" s="32" customFormat="1" x14ac:dyDescent="0.2">
      <c r="A65" s="25"/>
      <c r="B65" s="115" t="s">
        <v>78</v>
      </c>
      <c r="C65" s="109">
        <f>ОПЕРУ!C65+'00075+'!C65+'00086+'!C65+'00868+'!C65+'00224+'!C65+'00207+'!C65+'00854'!C65+'00317'!C65+'01045'!C65+'00490'!C65+'00424'!C65+'00853'!C65+'00494'!C65+'00855'!C65+'01152'!C65</f>
        <v>34</v>
      </c>
      <c r="D65" s="109">
        <f>ОПЕРУ!D65+'00075+'!D65+'00086+'!D65+'00868+'!D65+'00224+'!D65+'00207+'!D65+'00854'!D65+'00317'!D65+'01045'!D65+'00490'!D65+'00424'!D65+'00853'!D65+'00494'!D65+'00855'!D65+'01152'!D65</f>
        <v>85000</v>
      </c>
      <c r="E65" s="109">
        <f>ОПЕРУ!E65+'00075+'!E65+'00086+'!E65+'00868+'!E65+'00224+'!E65+'00207+'!E65+'00854'!E65+'00317'!E65+'01045'!E65+'00490'!E65+'00424'!E65+'00853'!E65+'00494'!E65+'00855'!E65+'01152'!E65</f>
        <v>0</v>
      </c>
      <c r="F65" s="154">
        <f>ОПЕРУ!F65+'00075+'!F65+'00086+'!F65+'00868+'!F65+'00224+'!F65+'00207+'!F65+'00854'!F65+'00317'!F65+'01045'!F65+'00490'!F65+'00424'!F65+'00853'!F65+'00494'!F65+'00855'!F65+'01152'!F65</f>
        <v>0</v>
      </c>
      <c r="H65" s="35"/>
      <c r="I65" s="35"/>
      <c r="J65" s="35"/>
      <c r="K65" s="35"/>
    </row>
    <row r="66" spans="1:11" s="32" customFormat="1" x14ac:dyDescent="0.2">
      <c r="A66" s="25"/>
      <c r="B66" s="115" t="s">
        <v>79</v>
      </c>
      <c r="C66" s="109">
        <f>ОПЕРУ!C66+'00075+'!C66+'00086+'!C66+'00868+'!C66+'00224+'!C66+'00207+'!C66+'00854'!C66+'00317'!C66+'01045'!C66+'00490'!C66+'00424'!C66+'00853'!C66+'00494'!C66+'00855'!C66+'01152'!C66</f>
        <v>52</v>
      </c>
      <c r="D66" s="109">
        <f>ОПЕРУ!D66+'00075+'!D66+'00086+'!D66+'00868+'!D66+'00224+'!D66+'00207+'!D66+'00854'!D66+'00317'!D66+'01045'!D66+'00490'!D66+'00424'!D66+'00853'!D66+'00494'!D66+'00855'!D66+'01152'!D66</f>
        <v>416000</v>
      </c>
      <c r="E66" s="109">
        <f>ОПЕРУ!E66+'00075+'!E66+'00086+'!E66+'00868+'!E66+'00224+'!E66+'00207+'!E66+'00854'!E66+'00317'!E66+'01045'!E66+'00490'!E66+'00424'!E66+'00853'!E66+'00494'!E66+'00855'!E66+'01152'!E66</f>
        <v>0</v>
      </c>
      <c r="F66" s="154">
        <f>ОПЕРУ!F66+'00075+'!F66+'00086+'!F66+'00868+'!F66+'00224+'!F66+'00207+'!F66+'00854'!F66+'00317'!F66+'01045'!F66+'00490'!F66+'00424'!F66+'00853'!F66+'00494'!F66+'00855'!F66+'01152'!F66</f>
        <v>0</v>
      </c>
      <c r="H66" s="35"/>
      <c r="I66" s="35"/>
      <c r="J66" s="35"/>
      <c r="K66" s="35"/>
    </row>
    <row r="67" spans="1:11" s="32" customFormat="1" x14ac:dyDescent="0.2">
      <c r="A67" s="25"/>
      <c r="B67" s="115" t="s">
        <v>80</v>
      </c>
      <c r="C67" s="109">
        <f>ОПЕРУ!C67+'00075+'!C67+'00086+'!C67+'00868+'!C67+'00224+'!C67+'00207+'!C67+'00854'!C67+'00317'!C67+'01045'!C67+'00490'!C67+'00424'!C67+'00853'!C67+'00494'!C67+'00855'!C67+'01152'!C67</f>
        <v>3</v>
      </c>
      <c r="D67" s="109">
        <f>ОПЕРУ!D67+'00075+'!D67+'00086+'!D67+'00868+'!D67+'00224+'!D67+'00207+'!D67+'00854'!D67+'00317'!D67+'01045'!D67+'00490'!D67+'00424'!D67+'00853'!D67+'00494'!D67+'00855'!D67+'01152'!D67</f>
        <v>56000</v>
      </c>
      <c r="E67" s="109">
        <f>ОПЕРУ!E67+'00075+'!E67+'00086+'!E67+'00868+'!E67+'00224+'!E67+'00207+'!E67+'00854'!E67+'00317'!E67+'01045'!E67+'00490'!E67+'00424'!E67+'00853'!E67+'00494'!E67+'00855'!E67+'01152'!E67</f>
        <v>0</v>
      </c>
      <c r="F67" s="154">
        <f>ОПЕРУ!F67+'00075+'!F67+'00086+'!F67+'00868+'!F67+'00224+'!F67+'00207+'!F67+'00854'!F67+'00317'!F67+'01045'!F67+'00490'!F67+'00424'!F67+'00853'!F67+'00494'!F67+'00855'!F67+'01152'!F67</f>
        <v>0</v>
      </c>
      <c r="H67" s="35"/>
      <c r="I67" s="35"/>
      <c r="J67" s="35"/>
      <c r="K67" s="35"/>
    </row>
    <row r="68" spans="1:11" s="32" customFormat="1" x14ac:dyDescent="0.2">
      <c r="A68" s="25"/>
      <c r="B68" s="115" t="s">
        <v>81</v>
      </c>
      <c r="C68" s="109">
        <f>ОПЕРУ!C68+'00075+'!C68+'00086+'!C68+'00868+'!C68+'00224+'!C68+'00207+'!C68+'00854'!C68+'00317'!C68+'01045'!C68+'00490'!C68+'00424'!C68+'00853'!C68+'00494'!C68+'00855'!C68+'01152'!C68</f>
        <v>3</v>
      </c>
      <c r="D68" s="109">
        <f>ОПЕРУ!D68+'00075+'!D68+'00086+'!D68+'00868+'!D68+'00224+'!D68+'00207+'!D68+'00854'!D68+'00317'!D68+'01045'!D68+'00490'!D68+'00424'!D68+'00853'!D68+'00494'!D68+'00855'!D68+'01152'!D68</f>
        <v>280000</v>
      </c>
      <c r="E68" s="109">
        <f>ОПЕРУ!E68+'00075+'!E68+'00086+'!E68+'00868+'!E68+'00224+'!E68+'00207+'!E68+'00854'!E68+'00317'!E68+'01045'!E68+'00490'!E68+'00424'!E68+'00853'!E68+'00494'!E68+'00855'!E68+'01152'!E68</f>
        <v>0</v>
      </c>
      <c r="F68" s="154">
        <f>ОПЕРУ!F68+'00075+'!F68+'00086+'!F68+'00868+'!F68+'00224+'!F68+'00207+'!F68+'00854'!F68+'00317'!F68+'01045'!F68+'00490'!F68+'00424'!F68+'00853'!F68+'00494'!F68+'00855'!F68+'01152'!F68</f>
        <v>0</v>
      </c>
      <c r="H68" s="35"/>
      <c r="I68" s="35"/>
      <c r="J68" s="35"/>
      <c r="K68" s="35"/>
    </row>
    <row r="69" spans="1:11" s="32" customFormat="1" x14ac:dyDescent="0.2">
      <c r="A69" s="25"/>
      <c r="B69" s="115" t="s">
        <v>82</v>
      </c>
      <c r="C69" s="109">
        <f>ОПЕРУ!C69+'00075+'!C69+'00086+'!C69+'00868+'!C69+'00224+'!C69+'00207+'!C69+'00854'!C69+'00317'!C69+'01045'!C69+'00490'!C69+'00424'!C69+'00853'!C69+'00494'!C69+'00855'!C69+'01152'!C69</f>
        <v>9</v>
      </c>
      <c r="D69" s="109">
        <f>ОПЕРУ!D69+'00075+'!D69+'00086+'!D69+'00868+'!D69+'00224+'!D69+'00207+'!D69+'00854'!D69+'00317'!D69+'01045'!D69+'00490'!D69+'00424'!D69+'00853'!D69+'00494'!D69+'00855'!D69+'01152'!D69</f>
        <v>126000</v>
      </c>
      <c r="E69" s="109">
        <f>ОПЕРУ!E69+'00075+'!E69+'00086+'!E69+'00868+'!E69+'00224+'!E69+'00207+'!E69+'00854'!E69+'00317'!E69+'01045'!E69+'00490'!E69+'00424'!E69+'00853'!E69+'00494'!E69+'00855'!E69+'01152'!E69</f>
        <v>0</v>
      </c>
      <c r="F69" s="154">
        <f>ОПЕРУ!F69+'00075+'!F69+'00086+'!F69+'00868+'!F69+'00224+'!F69+'00207+'!F69+'00854'!F69+'00317'!F69+'01045'!F69+'00490'!F69+'00424'!F69+'00853'!F69+'00494'!F69+'00855'!F69+'01152'!F69</f>
        <v>0</v>
      </c>
      <c r="H69" s="35"/>
      <c r="I69" s="35"/>
      <c r="J69" s="35"/>
      <c r="K69" s="35"/>
    </row>
    <row r="70" spans="1:11" s="32" customFormat="1" x14ac:dyDescent="0.2">
      <c r="A70" s="25"/>
      <c r="B70" s="115" t="s">
        <v>83</v>
      </c>
      <c r="C70" s="109">
        <f>ОПЕРУ!C70+'00075+'!C70+'00086+'!C70+'00868+'!C70+'00224+'!C70+'00207+'!C70+'00854'!C70+'00317'!C70+'01045'!C70+'00490'!C70+'00424'!C70+'00853'!C70+'00494'!C70+'00855'!C70+'01152'!C70</f>
        <v>29</v>
      </c>
      <c r="D70" s="109">
        <f>ОПЕРУ!D70+'00075+'!D70+'00086+'!D70+'00868+'!D70+'00224+'!D70+'00207+'!D70+'00854'!D70+'00317'!D70+'01045'!D70+'00490'!D70+'00424'!D70+'00853'!D70+'00494'!D70+'00855'!D70+'01152'!D70</f>
        <v>283000</v>
      </c>
      <c r="E70" s="109">
        <f>ОПЕРУ!E70+'00075+'!E70+'00086+'!E70+'00868+'!E70+'00224+'!E70+'00207+'!E70+'00854'!E70+'00317'!E70+'01045'!E70+'00490'!E70+'00424'!E70+'00853'!E70+'00494'!E70+'00855'!E70+'01152'!E70</f>
        <v>0</v>
      </c>
      <c r="F70" s="154">
        <f>ОПЕРУ!F70+'00075+'!F70+'00086+'!F70+'00868+'!F70+'00224+'!F70+'00207+'!F70+'00854'!F70+'00317'!F70+'01045'!F70+'00490'!F70+'00424'!F70+'00853'!F70+'00494'!F70+'00855'!F70+'01152'!F70</f>
        <v>0</v>
      </c>
      <c r="H70" s="35"/>
      <c r="I70" s="35"/>
      <c r="J70" s="35"/>
      <c r="K70" s="35"/>
    </row>
    <row r="71" spans="1:11" s="32" customFormat="1" x14ac:dyDescent="0.2">
      <c r="A71" s="25"/>
      <c r="B71" s="115" t="s">
        <v>84</v>
      </c>
      <c r="C71" s="109">
        <f>ОПЕРУ!C71+'00075+'!C71+'00086+'!C71+'00868+'!C71+'00224+'!C71+'00207+'!C71+'00854'!C71+'00317'!C71+'01045'!C71+'00490'!C71+'00424'!C71+'00853'!C71+'00494'!C71+'00855'!C71+'01152'!C71</f>
        <v>8</v>
      </c>
      <c r="D71" s="109">
        <f>ОПЕРУ!D71+'00075+'!D71+'00086+'!D71+'00868+'!D71+'00224+'!D71+'00207+'!D71+'00854'!D71+'00317'!D71+'01045'!D71+'00490'!D71+'00424'!D71+'00853'!D71+'00494'!D71+'00855'!D71+'01152'!D71</f>
        <v>89500</v>
      </c>
      <c r="E71" s="109">
        <f>ОПЕРУ!E71+'00075+'!E71+'00086+'!E71+'00868+'!E71+'00224+'!E71+'00207+'!E71+'00854'!E71+'00317'!E71+'01045'!E71+'00490'!E71+'00424'!E71+'00853'!E71+'00494'!E71+'00855'!E71+'01152'!E71</f>
        <v>0</v>
      </c>
      <c r="F71" s="154">
        <f>ОПЕРУ!F71+'00075+'!F71+'00086+'!F71+'00868+'!F71+'00224+'!F71+'00207+'!F71+'00854'!F71+'00317'!F71+'01045'!F71+'00490'!F71+'00424'!F71+'00853'!F71+'00494'!F71+'00855'!F71+'01152'!F71</f>
        <v>0</v>
      </c>
      <c r="H71" s="35"/>
      <c r="I71" s="35"/>
      <c r="J71" s="35"/>
      <c r="K71" s="35"/>
    </row>
    <row r="72" spans="1:11" s="32" customFormat="1" ht="13.5" thickBot="1" x14ac:dyDescent="0.25">
      <c r="A72" s="25"/>
      <c r="B72" s="115" t="s">
        <v>85</v>
      </c>
      <c r="C72" s="109">
        <f>ОПЕРУ!C72+'00075+'!C72+'00086+'!C72+'00868+'!C72+'00224+'!C72+'00207+'!C72+'00854'!C72+'00317'!C72+'01045'!C72+'00490'!C72+'00424'!C72+'00853'!C72+'00494'!C72+'00855'!C72+'01152'!C72</f>
        <v>27</v>
      </c>
      <c r="D72" s="109">
        <f>ОПЕРУ!D72+'00075+'!D72+'00086+'!D72+'00868+'!D72+'00224+'!D72+'00207+'!D72+'00854'!D72+'00317'!D72+'01045'!D72+'00490'!D72+'00424'!D72+'00853'!D72+'00494'!D72+'00855'!D72+'01152'!D72</f>
        <v>166000</v>
      </c>
      <c r="E72" s="109">
        <f>ОПЕРУ!E72+'00075+'!E72+'00086+'!E72+'00868+'!E72+'00224+'!E72+'00207+'!E72+'00854'!E72+'00317'!E72+'01045'!E72+'00490'!E72+'00424'!E72+'00853'!E72+'00494'!E72+'00855'!E72+'01152'!E72</f>
        <v>0</v>
      </c>
      <c r="F72" s="154">
        <f>ОПЕРУ!F72+'00075+'!F72+'00086+'!F72+'00868+'!F72+'00224+'!F72+'00207+'!F72+'00854'!F72+'00317'!F72+'01045'!F72+'00490'!F72+'00424'!F72+'00853'!F72+'00494'!F72+'00855'!F72+'01152'!F72</f>
        <v>0</v>
      </c>
      <c r="H72" s="35"/>
      <c r="I72" s="35"/>
      <c r="J72" s="35"/>
      <c r="K72" s="35"/>
    </row>
    <row r="73" spans="1:11" ht="13.5" thickBot="1" x14ac:dyDescent="0.25">
      <c r="A73" s="108"/>
      <c r="B73" s="125" t="s">
        <v>157</v>
      </c>
      <c r="C73" s="126">
        <f>SUM(C62:C72)</f>
        <v>231</v>
      </c>
      <c r="D73" s="127">
        <f>SUM(D62:D72)</f>
        <v>3786500</v>
      </c>
      <c r="E73" s="127">
        <f>SUM(E62:E72)</f>
        <v>0</v>
      </c>
      <c r="F73" s="127">
        <f>SUM(F62:F72)</f>
        <v>0</v>
      </c>
      <c r="G73" s="45"/>
      <c r="H73" s="35"/>
      <c r="I73" s="46"/>
      <c r="J73" s="35"/>
      <c r="K73" s="35"/>
    </row>
    <row r="74" spans="1:11" x14ac:dyDescent="0.2">
      <c r="A74" s="59" t="s">
        <v>13</v>
      </c>
      <c r="B74" s="129" t="s">
        <v>86</v>
      </c>
      <c r="C74" s="109"/>
      <c r="D74" s="109"/>
      <c r="E74" s="109"/>
      <c r="F74" s="154"/>
      <c r="G74" s="19"/>
      <c r="H74" s="35"/>
      <c r="I74" s="35"/>
      <c r="J74" s="35"/>
      <c r="K74" s="35"/>
    </row>
    <row r="75" spans="1:11" s="32" customFormat="1" x14ac:dyDescent="0.2">
      <c r="A75" s="25"/>
      <c r="B75" s="132" t="s">
        <v>87</v>
      </c>
      <c r="C75" s="109">
        <f>ОПЕРУ!C75+'00075+'!C75+'00086+'!C75+'00868+'!C75+'00224+'!C75+'00207+'!C75+'00854'!C75+'00317'!C75+'01045'!C75+'00490'!C75+'00424'!C75+'00853'!C75+'00494'!C75+'00855'!C75+'01152'!C75</f>
        <v>3</v>
      </c>
      <c r="D75" s="109">
        <f>ОПЕРУ!D75+'00075+'!D75+'00086+'!D75+'00868+'!D75+'00224+'!D75+'00207+'!D75+'00854'!D75+'00317'!D75+'01045'!D75+'00490'!D75+'00424'!D75+'00853'!D75+'00494'!D75+'00855'!D75+'01152'!D75</f>
        <v>30000</v>
      </c>
      <c r="E75" s="109">
        <f>ОПЕРУ!E75+'00075+'!E75+'00086+'!E75+'00868+'!E75+'00224+'!E75+'00207+'!E75+'00854'!E75+'00317'!E75+'01045'!E75+'00490'!E75+'00424'!E75+'00853'!E75+'00494'!E75+'00855'!E75+'01152'!E75</f>
        <v>0</v>
      </c>
      <c r="F75" s="154">
        <f>ОПЕРУ!F75+'00075+'!F75+'00086+'!F75+'00868+'!F75+'00224+'!F75+'00207+'!F75+'00854'!F75+'00317'!F75+'01045'!F75+'00490'!F75+'00424'!F75+'00853'!F75+'00494'!F75+'00855'!F75+'01152'!F75</f>
        <v>0</v>
      </c>
      <c r="H75" s="35"/>
      <c r="I75" s="35"/>
      <c r="J75" s="35"/>
      <c r="K75" s="35"/>
    </row>
    <row r="76" spans="1:11" s="32" customFormat="1" ht="26.25" thickBot="1" x14ac:dyDescent="0.25">
      <c r="A76" s="25"/>
      <c r="B76" s="132" t="s">
        <v>88</v>
      </c>
      <c r="C76" s="109">
        <f>ОПЕРУ!C76+'00075+'!C76+'00086+'!C76+'00868+'!C76+'00224+'!C76+'00207+'!C76+'00854'!C76+'00317'!C76+'01045'!C76+'00490'!C76+'00424'!C76+'00853'!C76+'00494'!C76+'00855'!C76+'01152'!C76</f>
        <v>29</v>
      </c>
      <c r="D76" s="109">
        <f>ОПЕРУ!D76+'00075+'!D76+'00086+'!D76+'00868+'!D76+'00224+'!D76+'00207+'!D76+'00854'!D76+'00317'!D76+'01045'!D76+'00490'!D76+'00424'!D76+'00853'!D76+'00494'!D76+'00855'!D76+'01152'!D76</f>
        <v>137400</v>
      </c>
      <c r="E76" s="109">
        <f>ОПЕРУ!E76+'00075+'!E76+'00086+'!E76+'00868+'!E76+'00224+'!E76+'00207+'!E76+'00854'!E76+'00317'!E76+'01045'!E76+'00490'!E76+'00424'!E76+'00853'!E76+'00494'!E76+'00855'!E76+'01152'!E76</f>
        <v>0</v>
      </c>
      <c r="F76" s="154">
        <f>ОПЕРУ!F76+'00075+'!F76+'00086+'!F76+'00868+'!F76+'00224+'!F76+'00207+'!F76+'00854'!F76+'00317'!F76+'01045'!F76+'00490'!F76+'00424'!F76+'00853'!F76+'00494'!F76+'00855'!F76+'01152'!F76</f>
        <v>0</v>
      </c>
      <c r="H76" s="35"/>
      <c r="I76" s="35"/>
      <c r="J76" s="35"/>
      <c r="K76" s="35"/>
    </row>
    <row r="77" spans="1:11" ht="13.5" thickBot="1" x14ac:dyDescent="0.25">
      <c r="A77" s="108"/>
      <c r="B77" s="125" t="s">
        <v>158</v>
      </c>
      <c r="C77" s="126">
        <f>SUM(C75:C76)</f>
        <v>32</v>
      </c>
      <c r="D77" s="127">
        <f>SUM(D75:D76)</f>
        <v>167400</v>
      </c>
      <c r="E77" s="127">
        <f>SUM(E75:E76)</f>
        <v>0</v>
      </c>
      <c r="F77" s="127">
        <f>SUM(F75:F76)</f>
        <v>0</v>
      </c>
      <c r="G77" s="45"/>
      <c r="H77" s="35"/>
      <c r="I77" s="46"/>
      <c r="J77" s="35"/>
      <c r="K77" s="35"/>
    </row>
    <row r="78" spans="1:11" x14ac:dyDescent="0.2">
      <c r="A78" s="59" t="s">
        <v>8</v>
      </c>
      <c r="B78" s="60" t="s">
        <v>90</v>
      </c>
      <c r="C78" s="109"/>
      <c r="D78" s="109"/>
      <c r="E78" s="109"/>
      <c r="F78" s="154"/>
      <c r="G78" s="19"/>
      <c r="H78" s="35"/>
      <c r="I78" s="35"/>
      <c r="J78" s="35"/>
      <c r="K78" s="35"/>
    </row>
    <row r="79" spans="1:11" s="32" customFormat="1" x14ac:dyDescent="0.2">
      <c r="A79" s="25"/>
      <c r="B79" s="140" t="s">
        <v>91</v>
      </c>
      <c r="C79" s="109">
        <f>ОПЕРУ!C79+'00075+'!C79+'00086+'!C79+'00868+'!C79+'00224+'!C79+'00207+'!C79+'00854'!C79+'00317'!C79+'01045'!C79+'00490'!C79+'00424'!C79+'00853'!C79+'00494'!C79+'00855'!C79+'01152'!C79</f>
        <v>51</v>
      </c>
      <c r="D79" s="109">
        <f>ОПЕРУ!D79+'00075+'!D79+'00086+'!D79+'00868+'!D79+'00224+'!D79+'00207+'!D79+'00854'!D79+'00317'!D79+'01045'!D79+'00490'!D79+'00424'!D79+'00853'!D79+'00494'!D79+'00855'!D79+'01152'!D79</f>
        <v>28050000</v>
      </c>
      <c r="E79" s="109">
        <f>ОПЕРУ!E79+'00075+'!E79+'00086+'!E79+'00868+'!E79+'00224+'!E79+'00207+'!E79+'00854'!E79+'00317'!E79+'01045'!E79+'00490'!E79+'00424'!E79+'00853'!E79+'00494'!E79+'00855'!E79+'01152'!E79</f>
        <v>0</v>
      </c>
      <c r="F79" s="154">
        <f>ОПЕРУ!F79+'00075+'!F79+'00086+'!F79+'00868+'!F79+'00224+'!F79+'00207+'!F79+'00854'!F79+'00317'!F79+'01045'!F79+'00490'!F79+'00424'!F79+'00853'!F79+'00494'!F79+'00855'!F79+'01152'!F79</f>
        <v>0</v>
      </c>
      <c r="H79" s="35"/>
      <c r="I79" s="35"/>
      <c r="J79" s="35"/>
      <c r="K79" s="35"/>
    </row>
    <row r="80" spans="1:11" s="32" customFormat="1" x14ac:dyDescent="0.2">
      <c r="A80" s="25"/>
      <c r="B80" s="140" t="s">
        <v>92</v>
      </c>
      <c r="C80" s="109">
        <f>ОПЕРУ!C80+'00075+'!C80+'00086+'!C80+'00868+'!C80+'00224+'!C80+'00207+'!C80+'00854'!C80+'00317'!C80+'01045'!C80+'00490'!C80+'00424'!C80+'00853'!C80+'00494'!C80+'00855'!C80+'01152'!C80</f>
        <v>50</v>
      </c>
      <c r="D80" s="109">
        <f>ОПЕРУ!D80+'00075+'!D80+'00086+'!D80+'00868+'!D80+'00224+'!D80+'00207+'!D80+'00854'!D80+'00317'!D80+'01045'!D80+'00490'!D80+'00424'!D80+'00853'!D80+'00494'!D80+'00855'!D80+'01152'!D80</f>
        <v>22500000</v>
      </c>
      <c r="E80" s="109">
        <f>ОПЕРУ!E80+'00075+'!E80+'00086+'!E80+'00868+'!E80+'00224+'!E80+'00207+'!E80+'00854'!E80+'00317'!E80+'01045'!E80+'00490'!E80+'00424'!E80+'00853'!E80+'00494'!E80+'00855'!E80+'01152'!E80</f>
        <v>0</v>
      </c>
      <c r="F80" s="154">
        <f>ОПЕРУ!F80+'00075+'!F80+'00086+'!F80+'00868+'!F80+'00224+'!F80+'00207+'!F80+'00854'!F80+'00317'!F80+'01045'!F80+'00490'!F80+'00424'!F80+'00853'!F80+'00494'!F80+'00855'!F80+'01152'!F80</f>
        <v>0</v>
      </c>
      <c r="H80" s="35"/>
      <c r="I80" s="35"/>
      <c r="J80" s="35"/>
      <c r="K80" s="35"/>
    </row>
    <row r="81" spans="1:11" s="32" customFormat="1" x14ac:dyDescent="0.2">
      <c r="A81" s="25"/>
      <c r="B81" s="140" t="s">
        <v>93</v>
      </c>
      <c r="C81" s="109">
        <f>ОПЕРУ!C81+'00075+'!C81+'00086+'!C81+'00868+'!C81+'00224+'!C81+'00207+'!C81+'00854'!C81+'00317'!C81+'01045'!C81+'00490'!C81+'00424'!C81+'00853'!C81+'00494'!C81+'00855'!C81+'01152'!C81</f>
        <v>5</v>
      </c>
      <c r="D81" s="109">
        <f>ОПЕРУ!D81+'00075+'!D81+'00086+'!D81+'00868+'!D81+'00224+'!D81+'00207+'!D81+'00854'!D81+'00317'!D81+'01045'!D81+'00490'!D81+'00424'!D81+'00853'!D81+'00494'!D81+'00855'!D81+'01152'!D81</f>
        <v>75000</v>
      </c>
      <c r="E81" s="109">
        <f>ОПЕРУ!E81+'00075+'!E81+'00086+'!E81+'00868+'!E81+'00224+'!E81+'00207+'!E81+'00854'!E81+'00317'!E81+'01045'!E81+'00490'!E81+'00424'!E81+'00853'!E81+'00494'!E81+'00855'!E81+'01152'!E81</f>
        <v>0</v>
      </c>
      <c r="F81" s="154">
        <f>ОПЕРУ!F81+'00075+'!F81+'00086+'!F81+'00868+'!F81+'00224+'!F81+'00207+'!F81+'00854'!F81+'00317'!F81+'01045'!F81+'00490'!F81+'00424'!F81+'00853'!F81+'00494'!F81+'00855'!F81+'01152'!F81</f>
        <v>0</v>
      </c>
      <c r="H81" s="35"/>
      <c r="I81" s="35"/>
      <c r="J81" s="35"/>
      <c r="K81" s="35"/>
    </row>
    <row r="82" spans="1:11" s="32" customFormat="1" x14ac:dyDescent="0.2">
      <c r="A82" s="25"/>
      <c r="B82" s="40" t="s">
        <v>94</v>
      </c>
      <c r="C82" s="109">
        <f>ОПЕРУ!C82+'00075+'!C82+'00086+'!C82+'00868+'!C82+'00224+'!C82+'00207+'!C82+'00854'!C82+'00317'!C82+'01045'!C82+'00490'!C82+'00424'!C82+'00853'!C82+'00494'!C82+'00855'!C82+'01152'!C82</f>
        <v>21</v>
      </c>
      <c r="D82" s="109">
        <f>ОПЕРУ!D82+'00075+'!D82+'00086+'!D82+'00868+'!D82+'00224+'!D82+'00207+'!D82+'00854'!D82+'00317'!D82+'01045'!D82+'00490'!D82+'00424'!D82+'00853'!D82+'00494'!D82+'00855'!D82+'01152'!D82</f>
        <v>2730000</v>
      </c>
      <c r="E82" s="109">
        <f>ОПЕРУ!E82+'00075+'!E82+'00086+'!E82+'00868+'!E82+'00224+'!E82+'00207+'!E82+'00854'!E82+'00317'!E82+'01045'!E82+'00490'!E82+'00424'!E82+'00853'!E82+'00494'!E82+'00855'!E82+'01152'!E82</f>
        <v>0</v>
      </c>
      <c r="F82" s="154">
        <f>ОПЕРУ!F82+'00075+'!F82+'00086+'!F82+'00868+'!F82+'00224+'!F82+'00207+'!F82+'00854'!F82+'00317'!F82+'01045'!F82+'00490'!F82+'00424'!F82+'00853'!F82+'00494'!F82+'00855'!F82+'01152'!F82</f>
        <v>0</v>
      </c>
      <c r="H82" s="35"/>
      <c r="I82" s="35"/>
      <c r="J82" s="35"/>
      <c r="K82" s="35"/>
    </row>
    <row r="83" spans="1:11" s="32" customFormat="1" x14ac:dyDescent="0.2">
      <c r="A83" s="25"/>
      <c r="B83" s="24" t="s">
        <v>95</v>
      </c>
      <c r="C83" s="109">
        <f>ОПЕРУ!C83+'00075+'!C83+'00086+'!C83+'00868+'!C83+'00224+'!C83+'00207+'!C83+'00854'!C83+'00317'!C83+'01045'!C83+'00490'!C83+'00424'!C83+'00853'!C83+'00494'!C83+'00855'!C83+'01152'!C83</f>
        <v>42</v>
      </c>
      <c r="D83" s="109">
        <f>ОПЕРУ!D83+'00075+'!D83+'00086+'!D83+'00868+'!D83+'00224+'!D83+'00207+'!D83+'00854'!D83+'00317'!D83+'01045'!D83+'00490'!D83+'00424'!D83+'00853'!D83+'00494'!D83+'00855'!D83+'01152'!D83</f>
        <v>210000</v>
      </c>
      <c r="E83" s="109">
        <f>ОПЕРУ!E83+'00075+'!E83+'00086+'!E83+'00868+'!E83+'00224+'!E83+'00207+'!E83+'00854'!E83+'00317'!E83+'01045'!E83+'00490'!E83+'00424'!E83+'00853'!E83+'00494'!E83+'00855'!E83+'01152'!E83</f>
        <v>0</v>
      </c>
      <c r="F83" s="154">
        <f>ОПЕРУ!F83+'00075+'!F83+'00086+'!F83+'00868+'!F83+'00224+'!F83+'00207+'!F83+'00854'!F83+'00317'!F83+'01045'!F83+'00490'!F83+'00424'!F83+'00853'!F83+'00494'!F83+'00855'!F83+'01152'!F83</f>
        <v>0</v>
      </c>
      <c r="H83" s="35"/>
      <c r="I83" s="35"/>
      <c r="J83" s="35"/>
      <c r="K83" s="35"/>
    </row>
    <row r="84" spans="1:11" s="32" customFormat="1" x14ac:dyDescent="0.2">
      <c r="A84" s="25"/>
      <c r="B84" s="40" t="s">
        <v>96</v>
      </c>
      <c r="C84" s="109">
        <f>ОПЕРУ!C84+'00075+'!C84+'00086+'!C84+'00868+'!C84+'00224+'!C84+'00207+'!C84+'00854'!C84+'00317'!C84+'01045'!C84+'00490'!C84+'00424'!C84+'00853'!C84+'00494'!C84+'00855'!C84+'01152'!C84</f>
        <v>45</v>
      </c>
      <c r="D84" s="109">
        <f>ОПЕРУ!D84+'00075+'!D84+'00086+'!D84+'00868+'!D84+'00224+'!D84+'00207+'!D84+'00854'!D84+'00317'!D84+'01045'!D84+'00490'!D84+'00424'!D84+'00853'!D84+'00494'!D84+'00855'!D84+'01152'!D84</f>
        <v>225000</v>
      </c>
      <c r="E84" s="109">
        <f>ОПЕРУ!E84+'00075+'!E84+'00086+'!E84+'00868+'!E84+'00224+'!E84+'00207+'!E84+'00854'!E84+'00317'!E84+'01045'!E84+'00490'!E84+'00424'!E84+'00853'!E84+'00494'!E84+'00855'!E84+'01152'!E84</f>
        <v>0</v>
      </c>
      <c r="F84" s="154">
        <f>ОПЕРУ!F84+'00075+'!F84+'00086+'!F84+'00868+'!F84+'00224+'!F84+'00207+'!F84+'00854'!F84+'00317'!F84+'01045'!F84+'00490'!F84+'00424'!F84+'00853'!F84+'00494'!F84+'00855'!F84+'01152'!F84</f>
        <v>0</v>
      </c>
      <c r="H84" s="35"/>
      <c r="I84" s="35"/>
      <c r="J84" s="35"/>
      <c r="K84" s="35"/>
    </row>
    <row r="85" spans="1:11" s="32" customFormat="1" x14ac:dyDescent="0.2">
      <c r="A85" s="25"/>
      <c r="B85" s="40" t="s">
        <v>97</v>
      </c>
      <c r="C85" s="109">
        <f>ОПЕРУ!C85+'00075+'!C85+'00086+'!C85+'00868+'!C85+'00224+'!C85+'00207+'!C85+'00854'!C85+'00317'!C85+'01045'!C85+'00490'!C85+'00424'!C85+'00853'!C85+'00494'!C85+'00855'!C85+'01152'!C85</f>
        <v>78</v>
      </c>
      <c r="D85" s="109">
        <f>ОПЕРУ!D85+'00075+'!D85+'00086+'!D85+'00868+'!D85+'00224+'!D85+'00207+'!D85+'00854'!D85+'00317'!D85+'01045'!D85+'00490'!D85+'00424'!D85+'00853'!D85+'00494'!D85+'00855'!D85+'01152'!D85</f>
        <v>546000</v>
      </c>
      <c r="E85" s="109">
        <f>ОПЕРУ!E85+'00075+'!E85+'00086+'!E85+'00868+'!E85+'00224+'!E85+'00207+'!E85+'00854'!E85+'00317'!E85+'01045'!E85+'00490'!E85+'00424'!E85+'00853'!E85+'00494'!E85+'00855'!E85+'01152'!E85</f>
        <v>0</v>
      </c>
      <c r="F85" s="154">
        <f>ОПЕРУ!F85+'00075+'!F85+'00086+'!F85+'00868+'!F85+'00224+'!F85+'00207+'!F85+'00854'!F85+'00317'!F85+'01045'!F85+'00490'!F85+'00424'!F85+'00853'!F85+'00494'!F85+'00855'!F85+'01152'!F85</f>
        <v>0</v>
      </c>
      <c r="H85" s="35"/>
      <c r="I85" s="35"/>
      <c r="J85" s="35"/>
      <c r="K85" s="35"/>
    </row>
    <row r="86" spans="1:11" s="32" customFormat="1" x14ac:dyDescent="0.2">
      <c r="A86" s="25"/>
      <c r="B86" s="40" t="s">
        <v>98</v>
      </c>
      <c r="C86" s="109">
        <f>ОПЕРУ!C86+'00075+'!C86+'00086+'!C86+'00868+'!C86+'00224+'!C86+'00207+'!C86+'00854'!C86+'00317'!C86+'01045'!C86+'00490'!C86+'00424'!C86+'00853'!C86+'00494'!C86+'00855'!C86+'01152'!C86</f>
        <v>145</v>
      </c>
      <c r="D86" s="109">
        <f>ОПЕРУ!D86+'00075+'!D86+'00086+'!D86+'00868+'!D86+'00224+'!D86+'00207+'!D86+'00854'!D86+'00317'!D86+'01045'!D86+'00490'!D86+'00424'!D86+'00853'!D86+'00494'!D86+'00855'!D86+'01152'!D86</f>
        <v>1160000</v>
      </c>
      <c r="E86" s="109">
        <f>ОПЕРУ!E86+'00075+'!E86+'00086+'!E86+'00868+'!E86+'00224+'!E86+'00207+'!E86+'00854'!E86+'00317'!E86+'01045'!E86+'00490'!E86+'00424'!E86+'00853'!E86+'00494'!E86+'00855'!E86+'01152'!E86</f>
        <v>0</v>
      </c>
      <c r="F86" s="154">
        <f>ОПЕРУ!F86+'00075+'!F86+'00086+'!F86+'00868+'!F86+'00224+'!F86+'00207+'!F86+'00854'!F86+'00317'!F86+'01045'!F86+'00490'!F86+'00424'!F86+'00853'!F86+'00494'!F86+'00855'!F86+'01152'!F86</f>
        <v>0</v>
      </c>
      <c r="H86" s="35"/>
      <c r="I86" s="35"/>
      <c r="J86" s="35"/>
      <c r="K86" s="35"/>
    </row>
    <row r="87" spans="1:11" s="32" customFormat="1" x14ac:dyDescent="0.2">
      <c r="A87" s="25"/>
      <c r="B87" s="40" t="s">
        <v>99</v>
      </c>
      <c r="C87" s="109">
        <f>ОПЕРУ!C87+'00075+'!C87+'00086+'!C87+'00868+'!C87+'00224+'!C87+'00207+'!C87+'00854'!C87+'00317'!C87+'01045'!C87+'00490'!C87+'00424'!C87+'00853'!C87+'00494'!C87+'00855'!C87+'01152'!C87</f>
        <v>67</v>
      </c>
      <c r="D87" s="109">
        <f>ОПЕРУ!D87+'00075+'!D87+'00086+'!D87+'00868+'!D87+'00224+'!D87+'00207+'!D87+'00854'!D87+'00317'!D87+'01045'!D87+'00490'!D87+'00424'!D87+'00853'!D87+'00494'!D87+'00855'!D87+'01152'!D87</f>
        <v>536000</v>
      </c>
      <c r="E87" s="109">
        <f>ОПЕРУ!E87+'00075+'!E87+'00086+'!E87+'00868+'!E87+'00224+'!E87+'00207+'!E87+'00854'!E87+'00317'!E87+'01045'!E87+'00490'!E87+'00424'!E87+'00853'!E87+'00494'!E87+'00855'!E87+'01152'!E87</f>
        <v>0</v>
      </c>
      <c r="F87" s="154">
        <f>ОПЕРУ!F87+'00075+'!F87+'00086+'!F87+'00868+'!F87+'00224+'!F87+'00207+'!F87+'00854'!F87+'00317'!F87+'01045'!F87+'00490'!F87+'00424'!F87+'00853'!F87+'00494'!F87+'00855'!F87+'01152'!F87</f>
        <v>0</v>
      </c>
      <c r="H87" s="35"/>
      <c r="I87" s="35"/>
      <c r="J87" s="35"/>
      <c r="K87" s="35"/>
    </row>
    <row r="88" spans="1:11" s="32" customFormat="1" x14ac:dyDescent="0.2">
      <c r="A88" s="25"/>
      <c r="B88" s="40" t="s">
        <v>100</v>
      </c>
      <c r="C88" s="109">
        <f>ОПЕРУ!C88+'00075+'!C88+'00086+'!C88+'00868+'!C88+'00224+'!C88+'00207+'!C88+'00854'!C88+'00317'!C88+'01045'!C88+'00490'!C88+'00424'!C88+'00853'!C88+'00494'!C88+'00855'!C88+'01152'!C88</f>
        <v>21</v>
      </c>
      <c r="D88" s="109">
        <f>ОПЕРУ!D88+'00075+'!D88+'00086+'!D88+'00868+'!D88+'00224+'!D88+'00207+'!D88+'00854'!D88+'00317'!D88+'01045'!D88+'00490'!D88+'00424'!D88+'00853'!D88+'00494'!D88+'00855'!D88+'01152'!D88</f>
        <v>525000</v>
      </c>
      <c r="E88" s="109">
        <f>ОПЕРУ!E88+'00075+'!E88+'00086+'!E88+'00868+'!E88+'00224+'!E88+'00207+'!E88+'00854'!E88+'00317'!E88+'01045'!E88+'00490'!E88+'00424'!E88+'00853'!E88+'00494'!E88+'00855'!E88+'01152'!E88</f>
        <v>0</v>
      </c>
      <c r="F88" s="154">
        <f>ОПЕРУ!F88+'00075+'!F88+'00086+'!F88+'00868+'!F88+'00224+'!F88+'00207+'!F88+'00854'!F88+'00317'!F88+'01045'!F88+'00490'!F88+'00424'!F88+'00853'!F88+'00494'!F88+'00855'!F88+'01152'!F88</f>
        <v>0</v>
      </c>
      <c r="H88" s="35"/>
      <c r="I88" s="35"/>
      <c r="J88" s="35"/>
      <c r="K88" s="35"/>
    </row>
    <row r="89" spans="1:11" s="32" customFormat="1" x14ac:dyDescent="0.2">
      <c r="A89" s="25"/>
      <c r="B89" s="40" t="s">
        <v>101</v>
      </c>
      <c r="C89" s="109">
        <f>ОПЕРУ!C89+'00075+'!C89+'00086+'!C89+'00868+'!C89+'00224+'!C89+'00207+'!C89+'00854'!C89+'00317'!C89+'01045'!C89+'00490'!C89+'00424'!C89+'00853'!C89+'00494'!C89+'00855'!C89+'01152'!C89</f>
        <v>193</v>
      </c>
      <c r="D89" s="109">
        <f>ОПЕРУ!D89+'00075+'!D89+'00086+'!D89+'00868+'!D89+'00224+'!D89+'00207+'!D89+'00854'!D89+'00317'!D89+'01045'!D89+'00490'!D89+'00424'!D89+'00853'!D89+'00494'!D89+'00855'!D89+'01152'!D89</f>
        <v>289500</v>
      </c>
      <c r="E89" s="109">
        <f>ОПЕРУ!E89+'00075+'!E89+'00086+'!E89+'00868+'!E89+'00224+'!E89+'00207+'!E89+'00854'!E89+'00317'!E89+'01045'!E89+'00490'!E89+'00424'!E89+'00853'!E89+'00494'!E89+'00855'!E89+'01152'!E89</f>
        <v>0</v>
      </c>
      <c r="F89" s="154">
        <f>ОПЕРУ!F89+'00075+'!F89+'00086+'!F89+'00868+'!F89+'00224+'!F89+'00207+'!F89+'00854'!F89+'00317'!F89+'01045'!F89+'00490'!F89+'00424'!F89+'00853'!F89+'00494'!F89+'00855'!F89+'01152'!F89</f>
        <v>0</v>
      </c>
      <c r="H89" s="35"/>
      <c r="I89" s="35"/>
      <c r="J89" s="35"/>
      <c r="K89" s="35"/>
    </row>
    <row r="90" spans="1:11" s="32" customFormat="1" x14ac:dyDescent="0.2">
      <c r="A90" s="25"/>
      <c r="B90" s="40" t="s">
        <v>102</v>
      </c>
      <c r="C90" s="109">
        <f>ОПЕРУ!C90+'00075+'!C90+'00086+'!C90+'00868+'!C90+'00224+'!C90+'00207+'!C90+'00854'!C90+'00317'!C90+'01045'!C90+'00490'!C90+'00424'!C90+'00853'!C90+'00494'!C90+'00855'!C90+'01152'!C90</f>
        <v>325</v>
      </c>
      <c r="D90" s="109">
        <f>ОПЕРУ!D90+'00075+'!D90+'00086+'!D90+'00868+'!D90+'00224+'!D90+'00207+'!D90+'00854'!D90+'00317'!D90+'01045'!D90+'00490'!D90+'00424'!D90+'00853'!D90+'00494'!D90+'00855'!D90+'01152'!D90</f>
        <v>11375000</v>
      </c>
      <c r="E90" s="109">
        <f>ОПЕРУ!E90+'00075+'!E90+'00086+'!E90+'00868+'!E90+'00224+'!E90+'00207+'!E90+'00854'!E90+'00317'!E90+'01045'!E90+'00490'!E90+'00424'!E90+'00853'!E90+'00494'!E90+'00855'!E90+'01152'!E90</f>
        <v>0</v>
      </c>
      <c r="F90" s="154">
        <f>ОПЕРУ!F90+'00075+'!F90+'00086+'!F90+'00868+'!F90+'00224+'!F90+'00207+'!F90+'00854'!F90+'00317'!F90+'01045'!F90+'00490'!F90+'00424'!F90+'00853'!F90+'00494'!F90+'00855'!F90+'01152'!F90</f>
        <v>0</v>
      </c>
      <c r="H90" s="35"/>
      <c r="I90" s="35"/>
      <c r="J90" s="35"/>
      <c r="K90" s="35"/>
    </row>
    <row r="91" spans="1:11" s="32" customFormat="1" ht="13.5" thickBot="1" x14ac:dyDescent="0.25">
      <c r="A91" s="25"/>
      <c r="B91" s="24" t="s">
        <v>103</v>
      </c>
      <c r="C91" s="109">
        <f>ОПЕРУ!C91+'00075+'!C91+'00086+'!C91+'00868+'!C91+'00224+'!C91+'00207+'!C91+'00854'!C91+'00317'!C91+'01045'!C91+'00490'!C91+'00424'!C91+'00853'!C91+'00494'!C91+'00855'!C91+'01152'!C91</f>
        <v>400</v>
      </c>
      <c r="D91" s="109">
        <f>ОПЕРУ!D91+'00075+'!D91+'00086+'!D91+'00868+'!D91+'00224+'!D91+'00207+'!D91+'00854'!D91+'00317'!D91+'01045'!D91+'00490'!D91+'00424'!D91+'00853'!D91+'00494'!D91+'00855'!D91+'01152'!D91</f>
        <v>600000</v>
      </c>
      <c r="E91" s="109">
        <f>ОПЕРУ!E91+'00075+'!E91+'00086+'!E91+'00868+'!E91+'00224+'!E91+'00207+'!E91+'00854'!E91+'00317'!E91+'01045'!E91+'00490'!E91+'00424'!E91+'00853'!E91+'00494'!E91+'00855'!E91+'01152'!E91</f>
        <v>0</v>
      </c>
      <c r="F91" s="154">
        <f>ОПЕРУ!F91+'00075+'!F91+'00086+'!F91+'00868+'!F91+'00224+'!F91+'00207+'!F91+'00854'!F91+'00317'!F91+'01045'!F91+'00490'!F91+'00424'!F91+'00853'!F91+'00494'!F91+'00855'!F91+'01152'!F91</f>
        <v>0</v>
      </c>
      <c r="H91" s="35"/>
      <c r="I91" s="35"/>
      <c r="J91" s="35"/>
      <c r="K91" s="35"/>
    </row>
    <row r="92" spans="1:11" ht="13.5" thickBot="1" x14ac:dyDescent="0.25">
      <c r="A92" s="108"/>
      <c r="B92" s="125" t="s">
        <v>159</v>
      </c>
      <c r="C92" s="126">
        <f>SUM(C79:C91)</f>
        <v>1443</v>
      </c>
      <c r="D92" s="126">
        <f>SUM(D79:D91)</f>
        <v>68821500</v>
      </c>
      <c r="E92" s="126">
        <f>SUM(E79:E91)</f>
        <v>0</v>
      </c>
      <c r="F92" s="127">
        <f>SUM(F79:F91)</f>
        <v>0</v>
      </c>
      <c r="G92" s="45"/>
      <c r="H92" s="35"/>
      <c r="I92" s="46"/>
      <c r="J92" s="35"/>
      <c r="K92" s="35"/>
    </row>
    <row r="93" spans="1:11" x14ac:dyDescent="0.2">
      <c r="A93" s="139" t="s">
        <v>9</v>
      </c>
      <c r="B93" s="142" t="s">
        <v>104</v>
      </c>
      <c r="C93" s="109"/>
      <c r="D93" s="109"/>
      <c r="E93" s="109"/>
      <c r="F93" s="154"/>
      <c r="G93" s="19"/>
      <c r="H93" s="35"/>
      <c r="I93" s="35"/>
      <c r="J93" s="35"/>
      <c r="K93" s="35"/>
    </row>
    <row r="94" spans="1:11" s="32" customFormat="1" x14ac:dyDescent="0.2">
      <c r="A94" s="143"/>
      <c r="B94" s="40" t="s">
        <v>105</v>
      </c>
      <c r="C94" s="109">
        <f>ОПЕРУ!C94+'00075+'!C94+'00086+'!C94+'00868+'!C94+'00224+'!C94+'00207+'!C94+'00854'!C94+'00317'!C94+'01045'!C94+'00490'!C94+'00424'!C94+'00853'!C94+'00494'!C94+'00855'!C94+'01152'!C94</f>
        <v>1000</v>
      </c>
      <c r="D94" s="109">
        <f>ОПЕРУ!D94+'00075+'!D94+'00086+'!D94+'00868+'!D94+'00224+'!D94+'00207+'!D94+'00854'!D94+'00317'!D94+'01045'!D94+'00490'!D94+'00424'!D94+'00853'!D94+'00494'!D94+'00855'!D94+'01152'!D94</f>
        <v>10150000</v>
      </c>
      <c r="E94" s="109">
        <f>ОПЕРУ!E94+'00075+'!E94+'00086+'!E94+'00868+'!E94+'00224+'!E94+'00207+'!E94+'00854'!E94+'00317'!E94+'01045'!E94+'00490'!E94+'00424'!E94+'00853'!E94+'00494'!E94+'00855'!E94+'01152'!E94</f>
        <v>0</v>
      </c>
      <c r="F94" s="154">
        <f>ОПЕРУ!F94+'00075+'!F94+'00086+'!F94+'00868+'!F94+'00224+'!F94+'00207+'!F94+'00854'!F94+'00317'!F94+'01045'!F94+'00490'!F94+'00424'!F94+'00853'!F94+'00494'!F94+'00855'!F94+'01152'!F94</f>
        <v>0</v>
      </c>
      <c r="H94" s="35"/>
      <c r="I94" s="35"/>
      <c r="J94" s="35"/>
      <c r="K94" s="35"/>
    </row>
    <row r="95" spans="1:11" s="32" customFormat="1" x14ac:dyDescent="0.2">
      <c r="A95" s="25"/>
      <c r="B95" s="24" t="s">
        <v>106</v>
      </c>
      <c r="C95" s="109">
        <f>ОПЕРУ!C95+'00075+'!C95+'00086+'!C95+'00868+'!C95+'00224+'!C95+'00207+'!C95+'00854'!C95+'00317'!C95+'01045'!C95+'00490'!C95+'00424'!C95+'00853'!C95+'00494'!C95+'00855'!C95+'01152'!C95</f>
        <v>151</v>
      </c>
      <c r="D95" s="109">
        <f>ОПЕРУ!D95+'00075+'!D95+'00086+'!D95+'00868+'!D95+'00224+'!D95+'00207+'!D95+'00854'!D95+'00317'!D95+'01045'!D95+'00490'!D95+'00424'!D95+'00853'!D95+'00494'!D95+'00855'!D95+'01152'!D95</f>
        <v>2500000</v>
      </c>
      <c r="E95" s="109">
        <f>ОПЕРУ!E95+'00075+'!E95+'00086+'!E95+'00868+'!E95+'00224+'!E95+'00207+'!E95+'00854'!E95+'00317'!E95+'01045'!E95+'00490'!E95+'00424'!E95+'00853'!E95+'00494'!E95+'00855'!E95+'01152'!E95</f>
        <v>0</v>
      </c>
      <c r="F95" s="154">
        <f>ОПЕРУ!F95+'00075+'!F95+'00086+'!F95+'00868+'!F95+'00224+'!F95+'00207+'!F95+'00854'!F95+'00317'!F95+'01045'!F95+'00490'!F95+'00424'!F95+'00853'!F95+'00494'!F95+'00855'!F95+'01152'!F95</f>
        <v>0</v>
      </c>
      <c r="H95" s="35"/>
      <c r="I95" s="35"/>
      <c r="J95" s="35"/>
      <c r="K95" s="35"/>
    </row>
    <row r="96" spans="1:11" s="32" customFormat="1" x14ac:dyDescent="0.2">
      <c r="A96" s="25"/>
      <c r="B96" s="24" t="s">
        <v>107</v>
      </c>
      <c r="C96" s="109">
        <f>ОПЕРУ!C96+'00075+'!C96+'00086+'!C96+'00868+'!C96+'00224+'!C96+'00207+'!C96+'00854'!C96+'00317'!C96+'01045'!C96+'00490'!C96+'00424'!C96+'00853'!C96+'00494'!C96+'00855'!C96+'01152'!C96</f>
        <v>20</v>
      </c>
      <c r="D96" s="109">
        <f>ОПЕРУ!D96+'00075+'!D96+'00086+'!D96+'00868+'!D96+'00224+'!D96+'00207+'!D96+'00854'!D96+'00317'!D96+'01045'!D96+'00490'!D96+'00424'!D96+'00853'!D96+'00494'!D96+'00855'!D96+'01152'!D96</f>
        <v>200000</v>
      </c>
      <c r="E96" s="109">
        <f>ОПЕРУ!E96+'00075+'!E96+'00086+'!E96+'00868+'!E96+'00224+'!E96+'00207+'!E96+'00854'!E96+'00317'!E96+'01045'!E96+'00490'!E96+'00424'!E96+'00853'!E96+'00494'!E96+'00855'!E96+'01152'!E96</f>
        <v>0</v>
      </c>
      <c r="F96" s="154">
        <f>ОПЕРУ!F96+'00075+'!F96+'00086+'!F96+'00868+'!F96+'00224+'!F96+'00207+'!F96+'00854'!F96+'00317'!F96+'01045'!F96+'00490'!F96+'00424'!F96+'00853'!F96+'00494'!F96+'00855'!F96+'01152'!F96</f>
        <v>0</v>
      </c>
      <c r="H96" s="35"/>
      <c r="I96" s="35"/>
      <c r="J96" s="35"/>
      <c r="K96" s="35"/>
    </row>
    <row r="97" spans="1:11" s="32" customFormat="1" x14ac:dyDescent="0.2">
      <c r="A97" s="25"/>
      <c r="B97" s="40" t="s">
        <v>108</v>
      </c>
      <c r="C97" s="109">
        <f>ОПЕРУ!C97+'00075+'!C97+'00086+'!C97+'00868+'!C97+'00224+'!C97+'00207+'!C97+'00854'!C97+'00317'!C97+'01045'!C97+'00490'!C97+'00424'!C97+'00853'!C97+'00494'!C97+'00855'!C97+'01152'!C97</f>
        <v>450</v>
      </c>
      <c r="D97" s="109">
        <f>ОПЕРУ!D97+'00075+'!D97+'00086+'!D97+'00868+'!D97+'00224+'!D97+'00207+'!D97+'00854'!D97+'00317'!D97+'01045'!D97+'00490'!D97+'00424'!D97+'00853'!D97+'00494'!D97+'00855'!D97+'01152'!D97</f>
        <v>3170000</v>
      </c>
      <c r="E97" s="109">
        <f>ОПЕРУ!E97+'00075+'!E97+'00086+'!E97+'00868+'!E97+'00224+'!E97+'00207+'!E97+'00854'!E97+'00317'!E97+'01045'!E97+'00490'!E97+'00424'!E97+'00853'!E97+'00494'!E97+'00855'!E97+'01152'!E97</f>
        <v>0</v>
      </c>
      <c r="F97" s="154">
        <f>ОПЕРУ!F97+'00075+'!F97+'00086+'!F97+'00868+'!F97+'00224+'!F97+'00207+'!F97+'00854'!F97+'00317'!F97+'01045'!F97+'00490'!F97+'00424'!F97+'00853'!F97+'00494'!F97+'00855'!F97+'01152'!F97</f>
        <v>0</v>
      </c>
      <c r="H97" s="35"/>
      <c r="I97" s="35"/>
      <c r="J97" s="35"/>
      <c r="K97" s="35"/>
    </row>
    <row r="98" spans="1:11" s="32" customFormat="1" x14ac:dyDescent="0.2">
      <c r="A98" s="25"/>
      <c r="B98" s="40" t="s">
        <v>110</v>
      </c>
      <c r="C98" s="109">
        <f>ОПЕРУ!C98+'00075+'!C98+'00086+'!C98+'00868+'!C98+'00224+'!C98+'00207+'!C98+'00854'!C98+'00317'!C98+'01045'!C98+'00490'!C98+'00424'!C98+'00853'!C98+'00494'!C98+'00855'!C98+'01152'!C98</f>
        <v>100</v>
      </c>
      <c r="D98" s="109">
        <f>ОПЕРУ!D98+'00075+'!D98+'00086+'!D98+'00868+'!D98+'00224+'!D98+'00207+'!D98+'00854'!D98+'00317'!D98+'01045'!D98+'00490'!D98+'00424'!D98+'00853'!D98+'00494'!D98+'00855'!D98+'01152'!D98</f>
        <v>300000</v>
      </c>
      <c r="E98" s="109">
        <f>ОПЕРУ!E98+'00075+'!E98+'00086+'!E98+'00868+'!E98+'00224+'!E98+'00207+'!E98+'00854'!E98+'00317'!E98+'01045'!E98+'00490'!E98+'00424'!E98+'00853'!E98+'00494'!E98+'00855'!E98+'01152'!E98</f>
        <v>0</v>
      </c>
      <c r="F98" s="154">
        <f>ОПЕРУ!F98+'00075+'!F98+'00086+'!F98+'00868+'!F98+'00224+'!F98+'00207+'!F98+'00854'!F98+'00317'!F98+'01045'!F98+'00490'!F98+'00424'!F98+'00853'!F98+'00494'!F98+'00855'!F98+'01152'!F98</f>
        <v>0</v>
      </c>
      <c r="H98" s="35"/>
      <c r="I98" s="35"/>
      <c r="J98" s="35"/>
      <c r="K98" s="35"/>
    </row>
    <row r="99" spans="1:11" s="32" customFormat="1" x14ac:dyDescent="0.2">
      <c r="A99" s="25"/>
      <c r="B99" s="40" t="s">
        <v>112</v>
      </c>
      <c r="C99" s="109">
        <f>ОПЕРУ!C99+'00075+'!C99+'00086+'!C99+'00868+'!C99+'00224+'!C99+'00207+'!C99+'00854'!C99+'00317'!C99+'01045'!C99+'00490'!C99+'00424'!C99+'00853'!C99+'00494'!C99+'00855'!C99+'01152'!C99</f>
        <v>40</v>
      </c>
      <c r="D99" s="109">
        <f>ОПЕРУ!D99+'00075+'!D99+'00086+'!D99+'00868+'!D99+'00224+'!D99+'00207+'!D99+'00854'!D99+'00317'!D99+'01045'!D99+'00490'!D99+'00424'!D99+'00853'!D99+'00494'!D99+'00855'!D99+'01152'!D99</f>
        <v>1280000</v>
      </c>
      <c r="E99" s="109">
        <f>ОПЕРУ!E99+'00075+'!E99+'00086+'!E99+'00868+'!E99+'00224+'!E99+'00207+'!E99+'00854'!E99+'00317'!E99+'01045'!E99+'00490'!E99+'00424'!E99+'00853'!E99+'00494'!E99+'00855'!E99+'01152'!E99</f>
        <v>0</v>
      </c>
      <c r="F99" s="154">
        <f>ОПЕРУ!F99+'00075+'!F99+'00086+'!F99+'00868+'!F99+'00224+'!F99+'00207+'!F99+'00854'!F99+'00317'!F99+'01045'!F99+'00490'!F99+'00424'!F99+'00853'!F99+'00494'!F99+'00855'!F99+'01152'!F99</f>
        <v>0</v>
      </c>
      <c r="H99" s="35"/>
      <c r="I99" s="35"/>
      <c r="J99" s="35"/>
      <c r="K99" s="35"/>
    </row>
    <row r="100" spans="1:11" s="32" customFormat="1" x14ac:dyDescent="0.2">
      <c r="A100" s="25"/>
      <c r="B100" s="40" t="s">
        <v>114</v>
      </c>
      <c r="C100" s="109">
        <f>ОПЕРУ!C100+'00075+'!C100+'00086+'!C100+'00868+'!C100+'00224+'!C100+'00207+'!C100+'00854'!C100+'00317'!C100+'01045'!C100+'00490'!C100+'00424'!C100+'00853'!C100+'00494'!C100+'00855'!C100+'01152'!C100</f>
        <v>61</v>
      </c>
      <c r="D100" s="109">
        <f>ОПЕРУ!D100+'00075+'!D100+'00086+'!D100+'00868+'!D100+'00224+'!D100+'00207+'!D100+'00854'!D100+'00317'!D100+'01045'!D100+'00490'!D100+'00424'!D100+'00853'!D100+'00494'!D100+'00855'!D100+'01152'!D100</f>
        <v>1000000</v>
      </c>
      <c r="E100" s="109">
        <f>ОПЕРУ!E100+'00075+'!E100+'00086+'!E100+'00868+'!E100+'00224+'!E100+'00207+'!E100+'00854'!E100+'00317'!E100+'01045'!E100+'00490'!E100+'00424'!E100+'00853'!E100+'00494'!E100+'00855'!E100+'01152'!E100</f>
        <v>0</v>
      </c>
      <c r="F100" s="154">
        <f>ОПЕРУ!F100+'00075+'!F100+'00086+'!F100+'00868+'!F100+'00224+'!F100+'00207+'!F100+'00854'!F100+'00317'!F100+'01045'!F100+'00490'!F100+'00424'!F100+'00853'!F100+'00494'!F100+'00855'!F100+'01152'!F100</f>
        <v>0</v>
      </c>
      <c r="H100" s="35"/>
      <c r="I100" s="35"/>
      <c r="J100" s="35"/>
      <c r="K100" s="35"/>
    </row>
    <row r="101" spans="1:11" s="32" customFormat="1" x14ac:dyDescent="0.2">
      <c r="A101" s="25"/>
      <c r="B101" s="40" t="s">
        <v>279</v>
      </c>
      <c r="C101" s="109">
        <f>ОПЕРУ!C101+'00075+'!C101+'00086+'!C101+'00868+'!C101+'00224+'!C101+'00207+'!C101+'00854'!C101+'00317'!C101+'01045'!C101+'00490'!C101+'00424'!C101+'00853'!C101+'00494'!C101+'00855'!C101+'01152'!C101</f>
        <v>15</v>
      </c>
      <c r="D101" s="109">
        <f>ОПЕРУ!D101+'00075+'!D101+'00086+'!D101+'00868+'!D101+'00224+'!D101+'00207+'!D101+'00854'!D101+'00317'!D101+'01045'!D101+'00490'!D101+'00424'!D101+'00853'!D101+'00494'!D101+'00855'!D101+'01152'!D101</f>
        <v>3850000</v>
      </c>
      <c r="E101" s="109"/>
      <c r="F101" s="154"/>
      <c r="H101" s="35"/>
      <c r="I101" s="35"/>
      <c r="J101" s="35"/>
      <c r="K101" s="35"/>
    </row>
    <row r="102" spans="1:11" s="32" customFormat="1" x14ac:dyDescent="0.2">
      <c r="A102" s="25"/>
      <c r="B102" s="144" t="s">
        <v>116</v>
      </c>
      <c r="C102" s="109">
        <f>ОПЕРУ!C102+'00075+'!C102+'00086+'!C102+'00868+'!C102+'00224+'!C102+'00207+'!C102+'00854'!C102+'00317'!C102+'01045'!C102+'00490'!C102+'00424'!C102+'00853'!C102+'00494'!C102+'00855'!C102+'01152'!C102</f>
        <v>46</v>
      </c>
      <c r="D102" s="109">
        <f>ОПЕРУ!D102+'00075+'!D102+'00086+'!D102+'00868+'!D102+'00224+'!D102+'00207+'!D102+'00854'!D102+'00317'!D102+'01045'!D102+'00490'!D102+'00424'!D102+'00853'!D102+'00494'!D102+'00855'!D102+'01152'!D102</f>
        <v>380000</v>
      </c>
      <c r="E102" s="109">
        <f>ОПЕРУ!E102+'00075+'!E102+'00086+'!E102+'00868+'!E102+'00224+'!E102+'00207+'!E102+'00854'!E102+'00317'!E102+'01045'!E102+'00490'!E102+'00424'!E102+'00853'!E102+'00494'!E102+'00855'!E102+'01152'!E102</f>
        <v>0</v>
      </c>
      <c r="F102" s="154">
        <f>ОПЕРУ!F102+'00075+'!F102+'00086+'!F102+'00868+'!F102+'00224+'!F102+'00207+'!F102+'00854'!F102+'00317'!F102+'01045'!F102+'00490'!F102+'00424'!F102+'00853'!F102+'00494'!F102+'00855'!F102+'01152'!F102</f>
        <v>0</v>
      </c>
      <c r="H102" s="35"/>
      <c r="I102" s="35"/>
      <c r="J102" s="35"/>
      <c r="K102" s="35"/>
    </row>
    <row r="103" spans="1:11" s="32" customFormat="1" x14ac:dyDescent="0.2">
      <c r="A103" s="25"/>
      <c r="B103" s="40" t="s">
        <v>117</v>
      </c>
      <c r="C103" s="109">
        <f>ОПЕРУ!C103+'00075+'!C103+'00086+'!C103+'00868+'!C103+'00224+'!C103+'00207+'!C103+'00854'!C103+'00317'!C103+'01045'!C103+'00490'!C103+'00424'!C103+'00853'!C103+'00494'!C103+'00855'!C103+'01152'!C103</f>
        <v>901</v>
      </c>
      <c r="D103" s="109">
        <f>ОПЕРУ!D103+'00075+'!D103+'00086+'!D103+'00868+'!D103+'00224+'!D103+'00207+'!D103+'00854'!D103+'00317'!D103+'01045'!D103+'00490'!D103+'00424'!D103+'00853'!D103+'00494'!D103+'00855'!D103+'01152'!D103</f>
        <v>2080000</v>
      </c>
      <c r="E103" s="109">
        <f>ОПЕРУ!E103+'00075+'!E103+'00086+'!E103+'00868+'!E103+'00224+'!E103+'00207+'!E103+'00854'!E103+'00317'!E103+'01045'!E103+'00490'!E103+'00424'!E103+'00853'!E103+'00494'!E103+'00855'!E103+'01152'!E103</f>
        <v>0</v>
      </c>
      <c r="F103" s="154">
        <f>ОПЕРУ!F103+'00075+'!F103+'00086+'!F103+'00868+'!F103+'00224+'!F103+'00207+'!F103+'00854'!F103+'00317'!F103+'01045'!F103+'00490'!F103+'00424'!F103+'00853'!F103+'00494'!F103+'00855'!F103+'01152'!F103</f>
        <v>0</v>
      </c>
      <c r="H103" s="35"/>
      <c r="I103" s="35"/>
      <c r="J103" s="35"/>
      <c r="K103" s="35"/>
    </row>
    <row r="104" spans="1:11" s="32" customFormat="1" x14ac:dyDescent="0.2">
      <c r="A104" s="25"/>
      <c r="B104" s="24" t="s">
        <v>118</v>
      </c>
      <c r="C104" s="109">
        <f>ОПЕРУ!C104+'00075+'!C104+'00086+'!C104+'00868+'!C104+'00224+'!C104+'00207+'!C104+'00854'!C104+'00317'!C104+'01045'!C104+'00490'!C104+'00424'!C104+'00853'!C104+'00494'!C104+'00855'!C104+'01152'!C104</f>
        <v>1</v>
      </c>
      <c r="D104" s="109">
        <f>ОПЕРУ!D104+'00075+'!D104+'00086+'!D104+'00868+'!D104+'00224+'!D104+'00207+'!D104+'00854'!D104+'00317'!D104+'01045'!D104+'00490'!D104+'00424'!D104+'00853'!D104+'00494'!D104+'00855'!D104+'01152'!D104</f>
        <v>100000</v>
      </c>
      <c r="E104" s="109">
        <f>ОПЕРУ!E104+'00075+'!E104+'00086+'!E104+'00868+'!E104+'00224+'!E104+'00207+'!E104+'00854'!E104+'00317'!E104+'01045'!E104+'00490'!E104+'00424'!E104+'00853'!E104+'00494'!E104+'00855'!E104+'01152'!E104</f>
        <v>0</v>
      </c>
      <c r="F104" s="154">
        <f>ОПЕРУ!F104+'00075+'!F104+'00086+'!F104+'00868+'!F104+'00224+'!F104+'00207+'!F104+'00854'!F104+'00317'!F104+'01045'!F104+'00490'!F104+'00424'!F104+'00853'!F104+'00494'!F104+'00855'!F104+'01152'!F104</f>
        <v>0</v>
      </c>
      <c r="H104" s="35"/>
      <c r="I104" s="35"/>
      <c r="J104" s="35"/>
      <c r="K104" s="35"/>
    </row>
    <row r="105" spans="1:11" s="32" customFormat="1" x14ac:dyDescent="0.2">
      <c r="A105" s="143"/>
      <c r="B105" s="40" t="s">
        <v>119</v>
      </c>
      <c r="C105" s="109">
        <f>ОПЕРУ!C105+'00075+'!C105+'00086+'!C105+'00868+'!C105+'00224+'!C105+'00207+'!C105+'00854'!C105+'00317'!C105+'01045'!C105+'00490'!C105+'00424'!C105+'00853'!C105+'00494'!C105+'00855'!C105+'01152'!C105</f>
        <v>1</v>
      </c>
      <c r="D105" s="109">
        <f>ОПЕРУ!D105+'00075+'!D105+'00086+'!D105+'00868+'!D105+'00224+'!D105+'00207+'!D105+'00854'!D105+'00317'!D105+'01045'!D105+'00490'!D105+'00424'!D105+'00853'!D105+'00494'!D105+'00855'!D105+'01152'!D105</f>
        <v>18000000</v>
      </c>
      <c r="E105" s="109">
        <f>ОПЕРУ!E105+'00075+'!E105+'00086+'!E105+'00868+'!E105+'00224+'!E105+'00207+'!E105+'00854'!E105+'00317'!E105+'01045'!E105+'00490'!E105+'00424'!E105+'00853'!E105+'00494'!E105+'00855'!E105+'01152'!E105</f>
        <v>0</v>
      </c>
      <c r="F105" s="154">
        <f>ОПЕРУ!F105+'00075+'!F105+'00086+'!F105+'00868+'!F105+'00224+'!F105+'00207+'!F105+'00854'!F105+'00317'!F105+'01045'!F105+'00490'!F105+'00424'!F105+'00853'!F105+'00494'!F105+'00855'!F105+'01152'!F105</f>
        <v>0</v>
      </c>
      <c r="H105" s="35"/>
      <c r="I105" s="35"/>
      <c r="J105" s="35"/>
      <c r="K105" s="35"/>
    </row>
    <row r="106" spans="1:11" s="32" customFormat="1" x14ac:dyDescent="0.2">
      <c r="A106" s="143"/>
      <c r="B106" s="24" t="s">
        <v>120</v>
      </c>
      <c r="C106" s="109">
        <f>ОПЕРУ!C106+'00075+'!C106+'00086+'!C106+'00868+'!C106+'00224+'!C106+'00207+'!C106+'00854'!C106+'00317'!C106+'01045'!C106+'00490'!C106+'00424'!C106+'00853'!C106+'00494'!C106+'00855'!C106+'01152'!C106</f>
        <v>1</v>
      </c>
      <c r="D106" s="109">
        <f>ОПЕРУ!D106+'00075+'!D106+'00086+'!D106+'00868+'!D106+'00224+'!D106+'00207+'!D106+'00854'!D106+'00317'!D106+'01045'!D106+'00490'!D106+'00424'!D106+'00853'!D106+'00494'!D106+'00855'!D106+'01152'!D106</f>
        <v>12000000</v>
      </c>
      <c r="E106" s="109">
        <f>ОПЕРУ!E106+'00075+'!E106+'00086+'!E106+'00868+'!E106+'00224+'!E106+'00207+'!E106+'00854'!E106+'00317'!E106+'01045'!E106+'00490'!E106+'00424'!E106+'00853'!E106+'00494'!E106+'00855'!E106+'01152'!E106</f>
        <v>0</v>
      </c>
      <c r="F106" s="154">
        <f>ОПЕРУ!F106+'00075+'!F106+'00086+'!F106+'00868+'!F106+'00224+'!F106+'00207+'!F106+'00854'!F106+'00317'!F106+'01045'!F106+'00490'!F106+'00424'!F106+'00853'!F106+'00494'!F106+'00855'!F106+'01152'!F106</f>
        <v>0</v>
      </c>
      <c r="H106" s="35"/>
      <c r="I106" s="35"/>
      <c r="J106" s="35"/>
      <c r="K106" s="35"/>
    </row>
    <row r="107" spans="1:11" s="32" customFormat="1" ht="25.5" x14ac:dyDescent="0.2">
      <c r="A107" s="25"/>
      <c r="B107" s="319" t="s">
        <v>121</v>
      </c>
      <c r="C107" s="109">
        <f>ОПЕРУ!C107+'00075+'!C107+'00086+'!C107+'00868+'!C107+'00224+'!C107+'00207+'!C107+'00854'!C107+'00317'!C107+'01045'!C107+'00490'!C107+'00424'!C107+'00853'!C107+'00494'!C107+'00855'!C107+'01152'!C107</f>
        <v>1</v>
      </c>
      <c r="D107" s="109">
        <f>ОПЕРУ!D107+'00075+'!D107+'00086+'!D107+'00868+'!D107+'00224+'!D107+'00207+'!D107+'00854'!D107+'00317'!D107+'01045'!D107+'00490'!D107+'00424'!D107+'00853'!D107+'00494'!D107+'00855'!D107+'01152'!D107</f>
        <v>46500000</v>
      </c>
      <c r="E107" s="109">
        <f>ОПЕРУ!E107+'00075+'!E107+'00086+'!E107+'00868+'!E107+'00224+'!E107+'00207+'!E107+'00854'!E107+'00317'!E107+'01045'!E107+'00490'!E107+'00424'!E107+'00853'!E107+'00494'!E107+'00855'!E107+'01152'!E107</f>
        <v>0</v>
      </c>
      <c r="F107" s="154">
        <f>ОПЕРУ!F107+'00075+'!F107+'00086+'!F107+'00868+'!F107+'00224+'!F107+'00207+'!F107+'00854'!F107+'00317'!F107+'01045'!F107+'00490'!F107+'00424'!F107+'00853'!F107+'00494'!F107+'00855'!F107+'01152'!F107</f>
        <v>0</v>
      </c>
      <c r="H107" s="35"/>
      <c r="I107" s="35"/>
      <c r="J107" s="35"/>
      <c r="K107" s="35"/>
    </row>
    <row r="108" spans="1:11" s="32" customFormat="1" ht="25.5" x14ac:dyDescent="0.2">
      <c r="A108" s="25"/>
      <c r="B108" s="24" t="s">
        <v>123</v>
      </c>
      <c r="C108" s="109">
        <f>ОПЕРУ!C108+'00075+'!C108+'00086+'!C108+'00868+'!C108+'00224+'!C108+'00207+'!C108+'00854'!C108+'00317'!C108+'01045'!C108+'00490'!C108+'00424'!C108+'00853'!C108+'00494'!C108+'00855'!C108+'01152'!C108</f>
        <v>1</v>
      </c>
      <c r="D108" s="109">
        <f>ОПЕРУ!D108+'00075+'!D108+'00086+'!D108+'00868+'!D108+'00224+'!D108+'00207+'!D108+'00854'!D108+'00317'!D108+'01045'!D108+'00490'!D108+'00424'!D108+'00853'!D108+'00494'!D108+'00855'!D108+'01152'!D108</f>
        <v>25000000</v>
      </c>
      <c r="E108" s="109">
        <f>ОПЕРУ!E108+'00075+'!E108+'00086+'!E108+'00868+'!E108+'00224+'!E108+'00207+'!E108+'00854'!E108+'00317'!E108+'01045'!E108+'00490'!E108+'00424'!E108+'00853'!E108+'00494'!E108+'00855'!E108+'01152'!E108</f>
        <v>0</v>
      </c>
      <c r="F108" s="154">
        <f>ОПЕРУ!F108+'00075+'!F108+'00086+'!F108+'00868+'!F108+'00224+'!F108+'00207+'!F108+'00854'!F108+'00317'!F108+'01045'!F108+'00490'!F108+'00424'!F108+'00853'!F108+'00494'!F108+'00855'!F108+'01152'!F108</f>
        <v>0</v>
      </c>
      <c r="H108" s="35"/>
      <c r="I108" s="35"/>
      <c r="J108" s="35"/>
      <c r="K108" s="35"/>
    </row>
    <row r="109" spans="1:11" s="32" customFormat="1" ht="25.5" x14ac:dyDescent="0.2">
      <c r="A109" s="25"/>
      <c r="B109" s="69" t="s">
        <v>125</v>
      </c>
      <c r="C109" s="109">
        <f>ОПЕРУ!C109+'00075+'!C109+'00086+'!C109+'00868+'!C109+'00224+'!C109+'00207+'!C109+'00854'!C109+'00317'!C109+'01045'!C109+'00490'!C109+'00424'!C109+'00853'!C109+'00494'!C109+'00855'!C109+'01152'!C109</f>
        <v>1</v>
      </c>
      <c r="D109" s="109">
        <f>ОПЕРУ!D109+'00075+'!D109+'00086+'!D109+'00868+'!D109+'00224+'!D109+'00207+'!D109+'00854'!D109+'00317'!D109+'01045'!D109+'00490'!D109+'00424'!D109+'00853'!D109+'00494'!D109+'00855'!D109+'01152'!D109</f>
        <v>20000000</v>
      </c>
      <c r="E109" s="109">
        <f>ОПЕРУ!E109+'00075+'!E109+'00086+'!E109+'00868+'!E109+'00224+'!E109+'00207+'!E109+'00854'!E109+'00317'!E109+'01045'!E109+'00490'!E109+'00424'!E109+'00853'!E109+'00494'!E109+'00855'!E109+'01152'!E109</f>
        <v>0</v>
      </c>
      <c r="F109" s="154">
        <f>ОПЕРУ!F109+'00075+'!F109+'00086+'!F109+'00868+'!F109+'00224+'!F109+'00207+'!F109+'00854'!F109+'00317'!F109+'01045'!F109+'00490'!F109+'00424'!F109+'00853'!F109+'00494'!F109+'00855'!F109+'01152'!F109</f>
        <v>0</v>
      </c>
      <c r="H109" s="35"/>
      <c r="I109" s="35"/>
      <c r="J109" s="35"/>
      <c r="K109" s="35"/>
    </row>
    <row r="110" spans="1:11" s="32" customFormat="1" ht="25.5" x14ac:dyDescent="0.2">
      <c r="A110" s="25"/>
      <c r="B110" s="319" t="s">
        <v>127</v>
      </c>
      <c r="C110" s="109">
        <f>ОПЕРУ!C110+'00075+'!C110+'00086+'!C110+'00868+'!C110+'00224+'!C110+'00207+'!C110+'00854'!C110+'00317'!C110+'01045'!C110+'00490'!C110+'00424'!C110+'00853'!C110+'00494'!C110+'00855'!C110+'01152'!C110</f>
        <v>1</v>
      </c>
      <c r="D110" s="109">
        <f>ОПЕРУ!D110+'00075+'!D110+'00086+'!D110+'00868+'!D110+'00224+'!D110+'00207+'!D110+'00854'!D110+'00317'!D110+'01045'!D110+'00490'!D110+'00424'!D110+'00853'!D110+'00494'!D110+'00855'!D110+'01152'!D110</f>
        <v>10000000</v>
      </c>
      <c r="E110" s="109">
        <f>ОПЕРУ!E110+'00075+'!E110+'00086+'!E110+'00868+'!E110+'00224+'!E110+'00207+'!E110+'00854'!E110+'00317'!E110+'01045'!E110+'00490'!E110+'00424'!E110+'00853'!E110+'00494'!E110+'00855'!E110+'01152'!E110</f>
        <v>0</v>
      </c>
      <c r="F110" s="154">
        <f>ОПЕРУ!F110+'00075+'!F110+'00086+'!F110+'00868+'!F110+'00224+'!F110+'00207+'!F110+'00854'!F110+'00317'!F110+'01045'!F110+'00490'!F110+'00424'!F110+'00853'!F110+'00494'!F110+'00855'!F110+'01152'!F110</f>
        <v>0</v>
      </c>
      <c r="H110" s="35"/>
      <c r="I110" s="35"/>
      <c r="J110" s="35"/>
      <c r="K110" s="35"/>
    </row>
    <row r="111" spans="1:11" s="32" customFormat="1" x14ac:dyDescent="0.2">
      <c r="A111" s="25"/>
      <c r="B111" s="319" t="s">
        <v>129</v>
      </c>
      <c r="C111" s="109">
        <f>ОПЕРУ!C111+'00075+'!C111+'00086+'!C111+'00868+'!C111+'00224+'!C111+'00207+'!C111+'00854'!C111+'00317'!C111+'01045'!C111+'00490'!C111+'00424'!C111+'00853'!C111+'00494'!C111+'00855'!C111+'01152'!C111</f>
        <v>1</v>
      </c>
      <c r="D111" s="109">
        <f>ОПЕРУ!D111+'00075+'!D111+'00086+'!D111+'00868+'!D111+'00224+'!D111+'00207+'!D111+'00854'!D111+'00317'!D111+'01045'!D111+'00490'!D111+'00424'!D111+'00853'!D111+'00494'!D111+'00855'!D111+'01152'!D111</f>
        <v>10000000</v>
      </c>
      <c r="E111" s="109">
        <f>ОПЕРУ!E111+'00075+'!E111+'00086+'!E111+'00868+'!E111+'00224+'!E111+'00207+'!E111+'00854'!E111+'00317'!E111+'01045'!E111+'00490'!E111+'00424'!E111+'00853'!E111+'00494'!E111+'00855'!E111+'01152'!E111</f>
        <v>0</v>
      </c>
      <c r="F111" s="154">
        <f>ОПЕРУ!F111+'00075+'!F111+'00086+'!F111+'00868+'!F111+'00224+'!F111+'00207+'!F111+'00854'!F111+'00317'!F111+'01045'!F111+'00490'!F111+'00424'!F111+'00853'!F111+'00494'!F111+'00855'!F111+'01152'!F111</f>
        <v>0</v>
      </c>
      <c r="H111" s="35"/>
      <c r="I111" s="35"/>
      <c r="J111" s="35"/>
      <c r="K111" s="35"/>
    </row>
    <row r="112" spans="1:11" s="32" customFormat="1" x14ac:dyDescent="0.2">
      <c r="A112" s="25"/>
      <c r="B112" s="319" t="s">
        <v>131</v>
      </c>
      <c r="C112" s="109">
        <f>ОПЕРУ!C112+'00075+'!C112+'00086+'!C112+'00868+'!C112+'00224+'!C112+'00207+'!C112+'00854'!C112+'00317'!C112+'01045'!C112+'00490'!C112+'00424'!C112+'00853'!C112+'00494'!C112+'00855'!C112+'01152'!C112</f>
        <v>1</v>
      </c>
      <c r="D112" s="109">
        <f>ОПЕРУ!D112+'00075+'!D112+'00086+'!D112+'00868+'!D112+'00224+'!D112+'00207+'!D112+'00854'!D112+'00317'!D112+'01045'!D112+'00490'!D112+'00424'!D112+'00853'!D112+'00494'!D112+'00855'!D112+'01152'!D112</f>
        <v>3240000</v>
      </c>
      <c r="E112" s="109">
        <f>ОПЕРУ!E112+'00075+'!E112+'00086+'!E112+'00868+'!E112+'00224+'!E112+'00207+'!E112+'00854'!E112+'00317'!E112+'01045'!E112+'00490'!E112+'00424'!E112+'00853'!E112+'00494'!E112+'00855'!E112+'01152'!E112</f>
        <v>0</v>
      </c>
      <c r="F112" s="154">
        <f>ОПЕРУ!F112+'00075+'!F112+'00086+'!F112+'00868+'!F112+'00224+'!F112+'00207+'!F112+'00854'!F112+'00317'!F112+'01045'!F112+'00490'!F112+'00424'!F112+'00853'!F112+'00494'!F112+'00855'!F112+'01152'!F112</f>
        <v>0</v>
      </c>
      <c r="H112" s="35"/>
      <c r="I112" s="35"/>
      <c r="J112" s="35"/>
      <c r="K112" s="35"/>
    </row>
    <row r="113" spans="1:11" s="32" customFormat="1" x14ac:dyDescent="0.2">
      <c r="A113" s="25"/>
      <c r="B113" s="319" t="s">
        <v>132</v>
      </c>
      <c r="C113" s="109">
        <f>ОПЕРУ!C113+'00075+'!C113+'00086+'!C113+'00868+'!C113+'00224+'!C113+'00207+'!C113+'00854'!C113+'00317'!C113+'01045'!C113+'00490'!C113+'00424'!C113+'00853'!C113+'00494'!C113+'00855'!C113+'01152'!C113</f>
        <v>1</v>
      </c>
      <c r="D113" s="109">
        <f>ОПЕРУ!D113+'00075+'!D113+'00086+'!D113+'00868+'!D113+'00224+'!D113+'00207+'!D113+'00854'!D113+'00317'!D113+'01045'!D113+'00490'!D113+'00424'!D113+'00853'!D113+'00494'!D113+'00855'!D113+'01152'!D113</f>
        <v>3240000</v>
      </c>
      <c r="E113" s="109">
        <f>ОПЕРУ!E113+'00075+'!E113+'00086+'!E113+'00868+'!E113+'00224+'!E113+'00207+'!E113+'00854'!E113+'00317'!E113+'01045'!E113+'00490'!E113+'00424'!E113+'00853'!E113+'00494'!E113+'00855'!E113+'01152'!E113</f>
        <v>0</v>
      </c>
      <c r="F113" s="154">
        <f>ОПЕРУ!F113+'00075+'!F113+'00086+'!F113+'00868+'!F113+'00224+'!F113+'00207+'!F113+'00854'!F113+'00317'!F113+'01045'!F113+'00490'!F113+'00424'!F113+'00853'!F113+'00494'!F113+'00855'!F113+'01152'!F113</f>
        <v>0</v>
      </c>
      <c r="H113" s="35"/>
      <c r="I113" s="35"/>
      <c r="J113" s="35"/>
      <c r="K113" s="35"/>
    </row>
    <row r="114" spans="1:11" s="32" customFormat="1" x14ac:dyDescent="0.2">
      <c r="A114" s="25"/>
      <c r="B114" s="321" t="s">
        <v>134</v>
      </c>
      <c r="C114" s="109">
        <f>ОПЕРУ!C114+'00075+'!C114+'00086+'!C114+'00868+'!C114+'00224+'!C114+'00207+'!C114+'00854'!C114+'00317'!C114+'01045'!C114+'00490'!C114+'00424'!C114+'00853'!C114+'00494'!C114+'00855'!C114+'01152'!C114</f>
        <v>1</v>
      </c>
      <c r="D114" s="109">
        <f>ОПЕРУ!D114+'00075+'!D114+'00086+'!D114+'00868+'!D114+'00224+'!D114+'00207+'!D114+'00854'!D114+'00317'!D114+'01045'!D114+'00490'!D114+'00424'!D114+'00853'!D114+'00494'!D114+'00855'!D114+'01152'!D114</f>
        <v>100000</v>
      </c>
      <c r="E114" s="109">
        <f>ОПЕРУ!E114+'00075+'!E114+'00086+'!E114+'00868+'!E114+'00224+'!E114+'00207+'!E114+'00854'!E114+'00317'!E114+'01045'!E114+'00490'!E114+'00424'!E114+'00853'!E114+'00494'!E114+'00855'!E114+'01152'!E114</f>
        <v>0</v>
      </c>
      <c r="F114" s="154">
        <f>ОПЕРУ!F114+'00075+'!F114+'00086+'!F114+'00868+'!F114+'00224+'!F114+'00207+'!F114+'00854'!F114+'00317'!F114+'01045'!F114+'00490'!F114+'00424'!F114+'00853'!F114+'00494'!F114+'00855'!F114+'01152'!F114</f>
        <v>0</v>
      </c>
      <c r="H114" s="35"/>
      <c r="I114" s="35"/>
      <c r="J114" s="35"/>
      <c r="K114" s="35"/>
    </row>
    <row r="115" spans="1:11" s="32" customFormat="1" x14ac:dyDescent="0.2">
      <c r="A115" s="25"/>
      <c r="B115" s="40" t="s">
        <v>135</v>
      </c>
      <c r="C115" s="109">
        <f>ОПЕРУ!C115+'00075+'!C115+'00086+'!C115+'00868+'!C115+'00224+'!C115+'00207+'!C115+'00854'!C115+'00317'!C115+'01045'!C115+'00490'!C115+'00424'!C115+'00853'!C115+'00494'!C115+'00855'!C115+'01152'!C115</f>
        <v>1</v>
      </c>
      <c r="D115" s="109">
        <f>ОПЕРУ!D115+'00075+'!D115+'00086+'!D115+'00868+'!D115+'00224+'!D115+'00207+'!D115+'00854'!D115+'00317'!D115+'01045'!D115+'00490'!D115+'00424'!D115+'00853'!D115+'00494'!D115+'00855'!D115+'01152'!D115</f>
        <v>200000</v>
      </c>
      <c r="E115" s="109">
        <f>ОПЕРУ!E115+'00075+'!E115+'00086+'!E115+'00868+'!E115+'00224+'!E115+'00207+'!E115+'00854'!E115+'00317'!E115+'01045'!E115+'00490'!E115+'00424'!E115+'00853'!E115+'00494'!E115+'00855'!E115+'01152'!E115</f>
        <v>0</v>
      </c>
      <c r="F115" s="154">
        <f>ОПЕРУ!F115+'00075+'!F115+'00086+'!F115+'00868+'!F115+'00224+'!F115+'00207+'!F115+'00854'!F115+'00317'!F115+'01045'!F115+'00490'!F115+'00424'!F115+'00853'!F115+'00494'!F115+'00855'!F115+'01152'!F115</f>
        <v>0</v>
      </c>
      <c r="H115" s="35"/>
      <c r="I115" s="35"/>
      <c r="J115" s="35"/>
      <c r="K115" s="35"/>
    </row>
    <row r="116" spans="1:11" s="32" customFormat="1" ht="25.5" x14ac:dyDescent="0.2">
      <c r="A116" s="25"/>
      <c r="B116" s="40" t="s">
        <v>136</v>
      </c>
      <c r="C116" s="109">
        <f>ОПЕРУ!C116+'00075+'!C116+'00086+'!C116+'00868+'!C116+'00224+'!C116+'00207+'!C116+'00854'!C116+'00317'!C116+'01045'!C116+'00490'!C116+'00424'!C116+'00853'!C116+'00494'!C116+'00855'!C116+'01152'!C116</f>
        <v>1</v>
      </c>
      <c r="D116" s="109">
        <f>ОПЕРУ!D116+'00075+'!D116+'00086+'!D116+'00868+'!D116+'00224+'!D116+'00207+'!D116+'00854'!D116+'00317'!D116+'01045'!D116+'00490'!D116+'00424'!D116+'00853'!D116+'00494'!D116+'00855'!D116+'01152'!D116</f>
        <v>2000000</v>
      </c>
      <c r="E116" s="109">
        <f>ОПЕРУ!E116+'00075+'!E116+'00086+'!E116+'00868+'!E116+'00224+'!E116+'00207+'!E116+'00854'!E116+'00317'!E116+'01045'!E116+'00490'!E116+'00424'!E116+'00853'!E116+'00494'!E116+'00855'!E116+'01152'!E116</f>
        <v>0</v>
      </c>
      <c r="F116" s="154">
        <f>ОПЕРУ!F116+'00075+'!F116+'00086+'!F116+'00868+'!F116+'00224+'!F116+'00207+'!F116+'00854'!F116+'00317'!F116+'01045'!F116+'00490'!F116+'00424'!F116+'00853'!F116+'00494'!F116+'00855'!F116+'01152'!F116</f>
        <v>0</v>
      </c>
      <c r="H116" s="35"/>
      <c r="I116" s="35"/>
      <c r="J116" s="35"/>
      <c r="K116" s="35"/>
    </row>
    <row r="117" spans="1:11" s="32" customFormat="1" x14ac:dyDescent="0.2">
      <c r="A117" s="25"/>
      <c r="B117" s="40" t="s">
        <v>137</v>
      </c>
      <c r="C117" s="109">
        <f>ОПЕРУ!C117+'00075+'!C117+'00086+'!C117+'00868+'!C117+'00224+'!C117+'00207+'!C117+'00854'!C117+'00317'!C117+'01045'!C117+'00490'!C117+'00424'!C117+'00853'!C117+'00494'!C117+'00855'!C117+'01152'!C117</f>
        <v>300000</v>
      </c>
      <c r="D117" s="109">
        <f>ОПЕРУ!D117+'00075+'!D117+'00086+'!D117+'00868+'!D117+'00224+'!D117+'00207+'!D117+'00854'!D117+'00317'!D117+'01045'!D117+'00490'!D117+'00424'!D117+'00853'!D117+'00494'!D117+'00855'!D117+'01152'!D117</f>
        <v>4500000</v>
      </c>
      <c r="E117" s="109">
        <f>ОПЕРУ!E117+'00075+'!E117+'00086+'!E117+'00868+'!E117+'00224+'!E117+'00207+'!E117+'00854'!E117+'00317'!E117+'01045'!E117+'00490'!E117+'00424'!E117+'00853'!E117+'00494'!E117+'00855'!E117+'01152'!E117</f>
        <v>0</v>
      </c>
      <c r="F117" s="154">
        <f>ОПЕРУ!F117+'00075+'!F117+'00086+'!F117+'00868+'!F117+'00224+'!F117+'00207+'!F117+'00854'!F117+'00317'!F117+'01045'!F117+'00490'!F117+'00424'!F117+'00853'!F117+'00494'!F117+'00855'!F117+'01152'!F117</f>
        <v>0</v>
      </c>
      <c r="H117" s="35"/>
      <c r="I117" s="35"/>
      <c r="J117" s="35"/>
      <c r="K117" s="35"/>
    </row>
    <row r="118" spans="1:11" s="32" customFormat="1" x14ac:dyDescent="0.2">
      <c r="A118" s="25"/>
      <c r="B118" s="40" t="s">
        <v>138</v>
      </c>
      <c r="C118" s="109">
        <f>ОПЕРУ!C118+'00075+'!C118+'00086+'!C118+'00868+'!C118+'00224+'!C118+'00207+'!C118+'00854'!C118+'00317'!C118+'01045'!C118+'00490'!C118+'00424'!C118+'00853'!C118+'00494'!C118+'00855'!C118+'01152'!C118</f>
        <v>300000</v>
      </c>
      <c r="D118" s="109">
        <f>ОПЕРУ!D118+'00075+'!D118+'00086+'!D118+'00868+'!D118+'00224+'!D118+'00207+'!D118+'00854'!D118+'00317'!D118+'01045'!D118+'00490'!D118+'00424'!D118+'00853'!D118+'00494'!D118+'00855'!D118+'01152'!D118</f>
        <v>12000000</v>
      </c>
      <c r="E118" s="109">
        <f>ОПЕРУ!E118+'00075+'!E118+'00086+'!E118+'00868+'!E118+'00224+'!E118+'00207+'!E118+'00854'!E118+'00317'!E118+'01045'!E118+'00490'!E118+'00424'!E118+'00853'!E118+'00494'!E118+'00855'!E118+'01152'!E118</f>
        <v>0</v>
      </c>
      <c r="F118" s="154">
        <f>ОПЕРУ!F118+'00075+'!F118+'00086+'!F118+'00868+'!F118+'00224+'!F118+'00207+'!F118+'00854'!F118+'00317'!F118+'01045'!F118+'00490'!F118+'00424'!F118+'00853'!F118+'00494'!F118+'00855'!F118+'01152'!F118</f>
        <v>0</v>
      </c>
      <c r="H118" s="35"/>
      <c r="I118" s="35"/>
      <c r="J118" s="35"/>
      <c r="K118" s="35"/>
    </row>
    <row r="119" spans="1:11" s="32" customFormat="1" x14ac:dyDescent="0.2">
      <c r="A119" s="25"/>
      <c r="B119" s="24" t="s">
        <v>139</v>
      </c>
      <c r="C119" s="109">
        <f>ОПЕРУ!C119+'00075+'!C119+'00086+'!C119+'00868+'!C119+'00224+'!C119+'00207+'!C119+'00854'!C119+'00317'!C119+'01045'!C119+'00490'!C119+'00424'!C119+'00853'!C119+'00494'!C119+'00855'!C119+'01152'!C119</f>
        <v>100000</v>
      </c>
      <c r="D119" s="109">
        <f>ОПЕРУ!D119+'00075+'!D119+'00086+'!D119+'00868+'!D119+'00224+'!D119+'00207+'!D119+'00854'!D119+'00317'!D119+'01045'!D119+'00490'!D119+'00424'!D119+'00853'!D119+'00494'!D119+'00855'!D119+'01152'!D119</f>
        <v>5000000</v>
      </c>
      <c r="E119" s="109">
        <f>ОПЕРУ!E119+'00075+'!E119+'00086+'!E119+'00868+'!E119+'00224+'!E119+'00207+'!E119+'00854'!E119+'00317'!E119+'01045'!E119+'00490'!E119+'00424'!E119+'00853'!E119+'00494'!E119+'00855'!E119+'01152'!E119</f>
        <v>0</v>
      </c>
      <c r="F119" s="154">
        <f>ОПЕРУ!F119+'00075+'!F119+'00086+'!F119+'00868+'!F119+'00224+'!F119+'00207+'!F119+'00854'!F119+'00317'!F119+'01045'!F119+'00490'!F119+'00424'!F119+'00853'!F119+'00494'!F119+'00855'!F119+'01152'!F119</f>
        <v>0</v>
      </c>
      <c r="H119" s="35"/>
      <c r="I119" s="35"/>
      <c r="J119" s="35"/>
      <c r="K119" s="35"/>
    </row>
    <row r="120" spans="1:11" s="32" customFormat="1" x14ac:dyDescent="0.2">
      <c r="A120" s="25"/>
      <c r="B120" s="24" t="s">
        <v>140</v>
      </c>
      <c r="C120" s="109">
        <f>ОПЕРУ!C120+'00075+'!C120+'00086+'!C120+'00868+'!C120+'00224+'!C120+'00207+'!C120+'00854'!C120+'00317'!C120+'01045'!C120+'00490'!C120+'00424'!C120+'00853'!C120+'00494'!C120+'00855'!C120+'01152'!C120</f>
        <v>100000</v>
      </c>
      <c r="D120" s="109">
        <f>ОПЕРУ!D120+'00075+'!D120+'00086+'!D120+'00868+'!D120+'00224+'!D120+'00207+'!D120+'00854'!D120+'00317'!D120+'01045'!D120+'00490'!D120+'00424'!D120+'00853'!D120+'00494'!D120+'00855'!D120+'01152'!D120</f>
        <v>5000000</v>
      </c>
      <c r="E120" s="109">
        <f>ОПЕРУ!E120+'00075+'!E120+'00086+'!E120+'00868+'!E120+'00224+'!E120+'00207+'!E120+'00854'!E120+'00317'!E120+'01045'!E120+'00490'!E120+'00424'!E120+'00853'!E120+'00494'!E120+'00855'!E120+'01152'!E120</f>
        <v>0</v>
      </c>
      <c r="F120" s="154">
        <f>ОПЕРУ!F120+'00075+'!F120+'00086+'!F120+'00868+'!F120+'00224+'!F120+'00207+'!F120+'00854'!F120+'00317'!F120+'01045'!F120+'00490'!F120+'00424'!F120+'00853'!F120+'00494'!F120+'00855'!F120+'01152'!F120</f>
        <v>0</v>
      </c>
      <c r="G120" s="35"/>
      <c r="H120" s="35"/>
      <c r="I120" s="35"/>
      <c r="J120" s="35"/>
      <c r="K120" s="35"/>
    </row>
    <row r="121" spans="1:11" s="32" customFormat="1" x14ac:dyDescent="0.2">
      <c r="A121" s="25"/>
      <c r="B121" s="24" t="s">
        <v>141</v>
      </c>
      <c r="C121" s="109">
        <f>ОПЕРУ!C121+'00075+'!C121+'00086+'!C121+'00868+'!C121+'00224+'!C121+'00207+'!C121+'00854'!C121+'00317'!C121+'01045'!C121+'00490'!C121+'00424'!C121+'00853'!C121+'00494'!C121+'00855'!C121+'01152'!C121</f>
        <v>100000</v>
      </c>
      <c r="D121" s="109">
        <f>ОПЕРУ!D121+'00075+'!D121+'00086+'!D121+'00868+'!D121+'00224+'!D121+'00207+'!D121+'00854'!D121+'00317'!D121+'01045'!D121+'00490'!D121+'00424'!D121+'00853'!D121+'00494'!D121+'00855'!D121+'01152'!D121</f>
        <v>5000000</v>
      </c>
      <c r="E121" s="109">
        <f>ОПЕРУ!E121+'00075+'!E121+'00086+'!E121+'00868+'!E121+'00224+'!E121+'00207+'!E121+'00854'!E121+'00317'!E121+'01045'!E121+'00490'!E121+'00424'!E121+'00853'!E121+'00494'!E121+'00855'!E121+'01152'!E121</f>
        <v>0</v>
      </c>
      <c r="F121" s="154">
        <f>ОПЕРУ!F121+'00075+'!F121+'00086+'!F121+'00868+'!F121+'00224+'!F121+'00207+'!F121+'00854'!F121+'00317'!F121+'01045'!F121+'00490'!F121+'00424'!F121+'00853'!F121+'00494'!F121+'00855'!F121+'01152'!F121</f>
        <v>0</v>
      </c>
      <c r="H121" s="35"/>
      <c r="I121" s="35"/>
      <c r="J121" s="35"/>
      <c r="K121" s="35"/>
    </row>
    <row r="122" spans="1:11" s="32" customFormat="1" x14ac:dyDescent="0.2">
      <c r="A122" s="25"/>
      <c r="B122" s="24" t="s">
        <v>142</v>
      </c>
      <c r="C122" s="109">
        <f>ОПЕРУ!C122+'00075+'!C122+'00086+'!C122+'00868+'!C122+'00224+'!C122+'00207+'!C122+'00854'!C122+'00317'!C122+'01045'!C122+'00490'!C122+'00424'!C122+'00853'!C122+'00494'!C122+'00855'!C122+'01152'!C122</f>
        <v>14</v>
      </c>
      <c r="D122" s="109">
        <f>ОПЕРУ!D122+'00075+'!D122+'00086+'!D122+'00868+'!D122+'00224+'!D122+'00207+'!D122+'00854'!D122+'00317'!D122+'01045'!D122+'00490'!D122+'00424'!D122+'00853'!D122+'00494'!D122+'00855'!D122+'01152'!D122</f>
        <v>2800000</v>
      </c>
      <c r="E122" s="109">
        <f>ОПЕРУ!E122+'00075+'!E122+'00086+'!E122+'00868+'!E122+'00224+'!E122+'00207+'!E122+'00854'!E122+'00317'!E122+'01045'!E122+'00490'!E122+'00424'!E122+'00853'!E122+'00494'!E122+'00855'!E122+'01152'!E122</f>
        <v>0</v>
      </c>
      <c r="F122" s="154">
        <f>ОПЕРУ!F122+'00075+'!F122+'00086+'!F122+'00868+'!F122+'00224+'!F122+'00207+'!F122+'00854'!F122+'00317'!F122+'01045'!F122+'00490'!F122+'00424'!F122+'00853'!F122+'00494'!F122+'00855'!F122+'01152'!F122</f>
        <v>0</v>
      </c>
      <c r="G122" s="35"/>
      <c r="H122" s="35"/>
      <c r="I122" s="35"/>
      <c r="J122" s="35"/>
      <c r="K122" s="35"/>
    </row>
    <row r="123" spans="1:11" s="32" customFormat="1" x14ac:dyDescent="0.2">
      <c r="A123" s="25"/>
      <c r="B123" s="40" t="s">
        <v>143</v>
      </c>
      <c r="C123" s="109">
        <f>ОПЕРУ!C123+'00075+'!C123+'00086+'!C123+'00868+'!C123+'00224+'!C123+'00207+'!C123+'00854'!C123+'00317'!C123+'01045'!C123+'00490'!C123+'00424'!C123+'00853'!C123+'00494'!C123+'00855'!C123+'01152'!C123</f>
        <v>100</v>
      </c>
      <c r="D123" s="109">
        <f>ОПЕРУ!D123+'00075+'!D123+'00086+'!D123+'00868+'!D123+'00224+'!D123+'00207+'!D123+'00854'!D123+'00317'!D123+'01045'!D123+'00490'!D123+'00424'!D123+'00853'!D123+'00494'!D123+'00855'!D123+'01152'!D123</f>
        <v>34720000</v>
      </c>
      <c r="E123" s="109">
        <f>ОПЕРУ!E123+'00075+'!E123+'00086+'!E123+'00868+'!E123+'00224+'!E123+'00207+'!E123+'00854'!E123+'00317'!E123+'01045'!E123+'00490'!E123+'00424'!E123+'00853'!E123+'00494'!E123+'00855'!E123+'01152'!E123</f>
        <v>0</v>
      </c>
      <c r="F123" s="154">
        <f>ОПЕРУ!F123+'00075+'!F123+'00086+'!F123+'00868+'!F123+'00224+'!F123+'00207+'!F123+'00854'!F123+'00317'!F123+'01045'!F123+'00490'!F123+'00424'!F123+'00853'!F123+'00494'!F123+'00855'!F123+'01152'!F123</f>
        <v>0</v>
      </c>
      <c r="H123" s="35"/>
      <c r="I123" s="35"/>
      <c r="J123" s="35"/>
      <c r="K123" s="35"/>
    </row>
    <row r="124" spans="1:11" s="32" customFormat="1" x14ac:dyDescent="0.2">
      <c r="A124" s="25"/>
      <c r="B124" s="24" t="s">
        <v>144</v>
      </c>
      <c r="C124" s="109">
        <f>ОПЕРУ!C124+'00075+'!C124+'00086+'!C124+'00868+'!C124+'00224+'!C124+'00207+'!C124+'00854'!C124+'00317'!C124+'01045'!C124+'00490'!C124+'00424'!C124+'00853'!C124+'00494'!C124+'00855'!C124+'01152'!C124</f>
        <v>1000</v>
      </c>
      <c r="D124" s="109">
        <f>ОПЕРУ!D124+'00075+'!D124+'00086+'!D124+'00868+'!D124+'00224+'!D124+'00207+'!D124+'00854'!D124+'00317'!D124+'01045'!D124+'00490'!D124+'00424'!D124+'00853'!D124+'00494'!D124+'00855'!D124+'01152'!D124</f>
        <v>3000000</v>
      </c>
      <c r="E124" s="109">
        <f>ОПЕРУ!E124+'00075+'!E124+'00086+'!E124+'00868+'!E124+'00224+'!E124+'00207+'!E124+'00854'!E124+'00317'!E124+'01045'!E124+'00490'!E124+'00424'!E124+'00853'!E124+'00494'!E124+'00855'!E124+'01152'!E124</f>
        <v>0</v>
      </c>
      <c r="F124" s="154">
        <f>ОПЕРУ!F124+'00075+'!F124+'00086+'!F124+'00868+'!F124+'00224+'!F124+'00207+'!F124+'00854'!F124+'00317'!F124+'01045'!F124+'00490'!F124+'00424'!F124+'00853'!F124+'00494'!F124+'00855'!F124+'01152'!F124</f>
        <v>0</v>
      </c>
      <c r="H124" s="35"/>
      <c r="I124" s="35"/>
      <c r="J124" s="35"/>
      <c r="K124" s="35"/>
    </row>
    <row r="125" spans="1:11" s="32" customFormat="1" ht="38.25" x14ac:dyDescent="0.2">
      <c r="A125" s="25"/>
      <c r="B125" s="40" t="s">
        <v>145</v>
      </c>
      <c r="C125" s="109">
        <f>ОПЕРУ!C125+'00075+'!C125+'00086+'!C125+'00868+'!C125+'00224+'!C125+'00207+'!C125+'00854'!C125+'00317'!C125+'01045'!C125+'00490'!C125+'00424'!C125+'00853'!C125+'00494'!C125+'00855'!C125+'01152'!C125</f>
        <v>1</v>
      </c>
      <c r="D125" s="109">
        <f>ОПЕРУ!D125+'00075+'!D125+'00086+'!D125+'00868+'!D125+'00224+'!D125+'00207+'!D125+'00854'!D125+'00317'!D125+'01045'!D125+'00490'!D125+'00424'!D125+'00853'!D125+'00494'!D125+'00855'!D125+'01152'!D125</f>
        <v>2200000</v>
      </c>
      <c r="E125" s="109">
        <f>ОПЕРУ!E125+'00075+'!E125+'00086+'!E125+'00868+'!E125+'00224+'!E125+'00207+'!E125+'00854'!E125+'00317'!E125+'01045'!E125+'00490'!E125+'00424'!E125+'00853'!E125+'00494'!E125+'00855'!E125+'01152'!E125</f>
        <v>0</v>
      </c>
      <c r="F125" s="154">
        <f>ОПЕРУ!F125+'00075+'!F125+'00086+'!F125+'00868+'!F125+'00224+'!F125+'00207+'!F125+'00854'!F125+'00317'!F125+'01045'!F125+'00490'!F125+'00424'!F125+'00853'!F125+'00494'!F125+'00855'!F125+'01152'!F125</f>
        <v>0</v>
      </c>
      <c r="H125" s="35"/>
      <c r="I125" s="35"/>
      <c r="J125" s="35"/>
      <c r="K125" s="35"/>
    </row>
    <row r="126" spans="1:11" s="32" customFormat="1" x14ac:dyDescent="0.2">
      <c r="A126" s="25"/>
      <c r="B126" s="40" t="s">
        <v>146</v>
      </c>
      <c r="C126" s="109">
        <f>ОПЕРУ!C126+'00075+'!C126+'00086+'!C126+'00868+'!C126+'00224+'!C126+'00207+'!C126+'00854'!C126+'00317'!C126+'01045'!C126+'00490'!C126+'00424'!C126+'00853'!C126+'00494'!C126+'00855'!C126+'01152'!C126</f>
        <v>1</v>
      </c>
      <c r="D126" s="109">
        <f>ОПЕРУ!D126+'00075+'!D126+'00086+'!D126+'00868+'!D126+'00224+'!D126+'00207+'!D126+'00854'!D126+'00317'!D126+'01045'!D126+'00490'!D126+'00424'!D126+'00853'!D126+'00494'!D126+'00855'!D126+'01152'!D126</f>
        <v>60000</v>
      </c>
      <c r="E126" s="109">
        <f>ОПЕРУ!E126+'00075+'!E126+'00086+'!E126+'00868+'!E126+'00224+'!E126+'00207+'!E126+'00854'!E126+'00317'!E126+'01045'!E126+'00490'!E126+'00424'!E126+'00853'!E126+'00494'!E126+'00855'!E126+'01152'!E126</f>
        <v>0</v>
      </c>
      <c r="F126" s="154">
        <f>ОПЕРУ!F126+'00075+'!F126+'00086+'!F126+'00868+'!F126+'00224+'!F126+'00207+'!F126+'00854'!F126+'00317'!F126+'01045'!F126+'00490'!F126+'00424'!F126+'00853'!F126+'00494'!F126+'00855'!F126+'01152'!F126</f>
        <v>0</v>
      </c>
      <c r="H126" s="35"/>
      <c r="I126" s="35"/>
      <c r="J126" s="35"/>
      <c r="K126" s="35"/>
    </row>
    <row r="127" spans="1:11" s="32" customFormat="1" x14ac:dyDescent="0.2">
      <c r="A127" s="25"/>
      <c r="B127" s="40" t="s">
        <v>147</v>
      </c>
      <c r="C127" s="109">
        <f>ОПЕРУ!C127+'00075+'!C127+'00086+'!C127+'00868+'!C127+'00224+'!C127+'00207+'!C127+'00854'!C127+'00317'!C127+'01045'!C127+'00490'!C127+'00424'!C127+'00853'!C127+'00494'!C127+'00855'!C127+'01152'!C127</f>
        <v>1</v>
      </c>
      <c r="D127" s="109">
        <f>ОПЕРУ!D127+'00075+'!D127+'00086+'!D127+'00868+'!D127+'00224+'!D127+'00207+'!D127+'00854'!D127+'00317'!D127+'01045'!D127+'00490'!D127+'00424'!D127+'00853'!D127+'00494'!D127+'00855'!D127+'01152'!D127</f>
        <v>1000000</v>
      </c>
      <c r="E127" s="109">
        <f>ОПЕРУ!E127+'00075+'!E127+'00086+'!E127+'00868+'!E127+'00224+'!E127+'00207+'!E127+'00854'!E127+'00317'!E127+'01045'!E127+'00490'!E127+'00424'!E127+'00853'!E127+'00494'!E127+'00855'!E127+'01152'!E127</f>
        <v>0</v>
      </c>
      <c r="F127" s="154">
        <f>ОПЕРУ!F127+'00075+'!F127+'00086+'!F127+'00868+'!F127+'00224+'!F127+'00207+'!F127+'00854'!F127+'00317'!F127+'01045'!F127+'00490'!F127+'00424'!F127+'00853'!F127+'00494'!F127+'00855'!F127+'01152'!F127</f>
        <v>0</v>
      </c>
      <c r="H127" s="35"/>
      <c r="I127" s="35"/>
      <c r="J127" s="35"/>
      <c r="K127" s="35"/>
    </row>
    <row r="128" spans="1:11" s="32" customFormat="1" x14ac:dyDescent="0.2">
      <c r="A128" s="25"/>
      <c r="B128" s="40" t="s">
        <v>148</v>
      </c>
      <c r="C128" s="109">
        <f>ОПЕРУ!C128+'00075+'!C128+'00086+'!C128+'00868+'!C128+'00224+'!C128+'00207+'!C128+'00854'!C128+'00317'!C128+'01045'!C128+'00490'!C128+'00424'!C128+'00853'!C128+'00494'!C128+'00855'!C128+'01152'!C128</f>
        <v>15000</v>
      </c>
      <c r="D128" s="109">
        <f>ОПЕРУ!D128+'00075+'!D128+'00086+'!D128+'00868+'!D128+'00224+'!D128+'00207+'!D128+'00854'!D128+'00317'!D128+'01045'!D128+'00490'!D128+'00424'!D128+'00853'!D128+'00494'!D128+'00855'!D128+'01152'!D128</f>
        <v>1800000</v>
      </c>
      <c r="E128" s="109">
        <f>ОПЕРУ!E128+'00075+'!E128+'00086+'!E128+'00868+'!E128+'00224+'!E128+'00207+'!E128+'00854'!E128+'00317'!E128+'01045'!E128+'00490'!E128+'00424'!E128+'00853'!E128+'00494'!E128+'00855'!E128+'01152'!E128</f>
        <v>0</v>
      </c>
      <c r="F128" s="154">
        <f>ОПЕРУ!F128+'00075+'!F128+'00086+'!F128+'00868+'!F128+'00224+'!F128+'00207+'!F128+'00854'!F128+'00317'!F128+'01045'!F128+'00490'!F128+'00424'!F128+'00853'!F128+'00494'!F128+'00855'!F128+'01152'!F128</f>
        <v>0</v>
      </c>
      <c r="H128" s="35"/>
      <c r="I128" s="35"/>
      <c r="J128" s="35"/>
      <c r="K128" s="35"/>
    </row>
    <row r="129" spans="1:11" s="32" customFormat="1" ht="25.5" x14ac:dyDescent="0.2">
      <c r="A129" s="25"/>
      <c r="B129" s="40" t="s">
        <v>149</v>
      </c>
      <c r="C129" s="109">
        <f>ОПЕРУ!C129+'00075+'!C129+'00086+'!C129+'00868+'!C129+'00224+'!C129+'00207+'!C129+'00854'!C129+'00317'!C129+'01045'!C129+'00490'!C129+'00424'!C129+'00853'!C129+'00494'!C129+'00855'!C129+'01152'!C129</f>
        <v>2</v>
      </c>
      <c r="D129" s="109">
        <f>ОПЕРУ!D129+'00075+'!D129+'00086+'!D129+'00868+'!D129+'00224+'!D129+'00207+'!D129+'00854'!D129+'00317'!D129+'01045'!D129+'00490'!D129+'00424'!D129+'00853'!D129+'00494'!D129+'00855'!D129+'01152'!D129</f>
        <v>170000</v>
      </c>
      <c r="E129" s="109">
        <f>ОПЕРУ!E129+'00075+'!E129+'00086+'!E129+'00868+'!E129+'00224+'!E129+'00207+'!E129+'00854'!E129+'00317'!E129+'01045'!E129+'00490'!E129+'00424'!E129+'00853'!E129+'00494'!E129+'00855'!E129+'01152'!E129</f>
        <v>0</v>
      </c>
      <c r="F129" s="154">
        <f>ОПЕРУ!F129+'00075+'!F129+'00086+'!F129+'00868+'!F129+'00224+'!F129+'00207+'!F129+'00854'!F129+'00317'!F129+'01045'!F129+'00490'!F129+'00424'!F129+'00853'!F129+'00494'!F129+'00855'!F129+'01152'!F129</f>
        <v>0</v>
      </c>
      <c r="H129" s="35"/>
      <c r="I129" s="35"/>
      <c r="J129" s="35"/>
      <c r="K129" s="35"/>
    </row>
    <row r="130" spans="1:11" s="32" customFormat="1" x14ac:dyDescent="0.2">
      <c r="A130" s="25"/>
      <c r="B130" s="40" t="s">
        <v>150</v>
      </c>
      <c r="C130" s="109">
        <f>ОПЕРУ!C130+'00075+'!C130+'00086+'!C130+'00868+'!C130+'00224+'!C130+'00207+'!C130+'00854'!C130+'00317'!C130+'01045'!C130+'00490'!C130+'00424'!C130+'00853'!C130+'00494'!C130+'00855'!C130+'01152'!C130</f>
        <v>1</v>
      </c>
      <c r="D130" s="109">
        <f>ОПЕРУ!D130+'00075+'!D130+'00086+'!D130+'00868+'!D130+'00224+'!D130+'00207+'!D130+'00854'!D130+'00317'!D130+'01045'!D130+'00490'!D130+'00424'!D130+'00853'!D130+'00494'!D130+'00855'!D130+'01152'!D130</f>
        <v>15000</v>
      </c>
      <c r="E130" s="109">
        <f>ОПЕРУ!E130+'00075+'!E130+'00086+'!E130+'00868+'!E130+'00224+'!E130+'00207+'!E130+'00854'!E130+'00317'!E130+'01045'!E130+'00490'!E130+'00424'!E130+'00853'!E130+'00494'!E130+'00855'!E130+'01152'!E130</f>
        <v>0</v>
      </c>
      <c r="F130" s="154">
        <f>ОПЕРУ!F130+'00075+'!F130+'00086+'!F130+'00868+'!F130+'00224+'!F130+'00207+'!F130+'00854'!F130+'00317'!F130+'01045'!F130+'00490'!F130+'00424'!F130+'00853'!F130+'00494'!F130+'00855'!F130+'01152'!F130</f>
        <v>0</v>
      </c>
      <c r="H130" s="35"/>
      <c r="I130" s="35"/>
      <c r="J130" s="35"/>
      <c r="K130" s="35"/>
    </row>
    <row r="131" spans="1:11" s="32" customFormat="1" x14ac:dyDescent="0.2">
      <c r="A131" s="25"/>
      <c r="B131" s="40" t="s">
        <v>151</v>
      </c>
      <c r="C131" s="109">
        <f>ОПЕРУ!C131+'00075+'!C131+'00086+'!C131+'00868+'!C131+'00224+'!C131+'00207+'!C131+'00854'!C131+'00317'!C131+'01045'!C131+'00490'!C131+'00424'!C131+'00853'!C131+'00494'!C131+'00855'!C131+'01152'!C131</f>
        <v>16</v>
      </c>
      <c r="D131" s="109">
        <f>ОПЕРУ!D131+'00075+'!D131+'00086+'!D131+'00868+'!D131+'00224+'!D131+'00207+'!D131+'00854'!D131+'00317'!D131+'01045'!D131+'00490'!D131+'00424'!D131+'00853'!D131+'00494'!D131+'00855'!D131+'01152'!D131</f>
        <v>164000</v>
      </c>
      <c r="E131" s="109">
        <f>ОПЕРУ!E131+'00075+'!E131+'00086+'!E131+'00868+'!E131+'00224+'!E131+'00207+'!E131+'00854'!E131+'00317'!E131+'01045'!E131+'00490'!E131+'00424'!E131+'00853'!E131+'00494'!E131+'00855'!E131+'01152'!E131</f>
        <v>0</v>
      </c>
      <c r="F131" s="154">
        <f>ОПЕРУ!F131+'00075+'!F131+'00086+'!F131+'00868+'!F131+'00224+'!F131+'00207+'!F131+'00854'!F131+'00317'!F131+'01045'!F131+'00490'!F131+'00424'!F131+'00853'!F131+'00494'!F131+'00855'!F131+'01152'!F131</f>
        <v>0</v>
      </c>
      <c r="H131" s="35"/>
      <c r="I131" s="35"/>
      <c r="J131" s="35"/>
      <c r="K131" s="35"/>
    </row>
    <row r="132" spans="1:11" s="32" customFormat="1" ht="13.5" thickBot="1" x14ac:dyDescent="0.25">
      <c r="A132" s="25"/>
      <c r="B132" s="24" t="s">
        <v>152</v>
      </c>
      <c r="C132" s="109">
        <f>ОПЕРУ!C132+'00075+'!C132+'00086+'!C132+'00868+'!C132+'00224+'!C132+'00207+'!C132+'00854'!C132+'00317'!C132+'01045'!C132+'00490'!C132+'00424'!C132+'00853'!C132+'00494'!C132+'00855'!C132+'01152'!C132</f>
        <v>61</v>
      </c>
      <c r="D132" s="109">
        <f>ОПЕРУ!D132+'00075+'!D132+'00086+'!D132+'00868+'!D132+'00224+'!D132+'00207+'!D132+'00854'!D132+'00317'!D132+'01045'!D132+'00490'!D132+'00424'!D132+'00853'!D132+'00494'!D132+'00855'!D132+'01152'!D132</f>
        <v>2920000</v>
      </c>
      <c r="E132" s="109">
        <f>ОПЕРУ!E132+'00075+'!E132+'00086+'!E132+'00868+'!E132+'00224+'!E132+'00207+'!E132+'00854'!E132+'00317'!E132+'01045'!E132+'00490'!E132+'00424'!E132+'00853'!E132+'00494'!E132+'00855'!E132+'01152'!E132</f>
        <v>0</v>
      </c>
      <c r="F132" s="154">
        <f>ОПЕРУ!F132+'00075+'!F132+'00086+'!F132+'00868+'!F132+'00224+'!F132+'00207+'!F132+'00854'!F132+'00317'!F132+'01045'!F132+'00490'!F132+'00424'!F132+'00853'!F132+'00494'!F132+'00855'!F132+'01152'!F132</f>
        <v>0</v>
      </c>
      <c r="H132" s="35"/>
      <c r="I132" s="35"/>
      <c r="J132" s="35"/>
      <c r="K132" s="35"/>
    </row>
    <row r="133" spans="1:11" ht="13.5" thickBot="1" x14ac:dyDescent="0.25">
      <c r="A133" s="104"/>
      <c r="B133" s="125" t="s">
        <v>160</v>
      </c>
      <c r="C133" s="126">
        <f>SUM(C94:C132)</f>
        <v>918994</v>
      </c>
      <c r="D133" s="127">
        <f>SUM(D94:D132)</f>
        <v>255639000</v>
      </c>
      <c r="E133" s="127">
        <f>SUM(E94:E132)</f>
        <v>0</v>
      </c>
      <c r="F133" s="127">
        <f>SUM(F94:F132)</f>
        <v>0</v>
      </c>
      <c r="G133" s="45"/>
      <c r="H133" s="35"/>
      <c r="I133" s="46"/>
      <c r="J133" s="35"/>
      <c r="K133" s="35"/>
    </row>
    <row r="134" spans="1:11" s="32" customFormat="1" x14ac:dyDescent="0.2">
      <c r="A134" s="139" t="s">
        <v>10</v>
      </c>
      <c r="B134" s="142" t="s">
        <v>153</v>
      </c>
      <c r="C134" s="109"/>
      <c r="D134" s="109"/>
      <c r="E134" s="109"/>
      <c r="F134" s="154"/>
      <c r="G134" s="35"/>
      <c r="H134" s="35"/>
      <c r="I134" s="35"/>
      <c r="J134" s="35"/>
      <c r="K134" s="35"/>
    </row>
    <row r="135" spans="1:11" s="32" customFormat="1" x14ac:dyDescent="0.2">
      <c r="A135" s="25"/>
      <c r="B135" s="40" t="s">
        <v>163</v>
      </c>
      <c r="C135" s="109">
        <f>ОПЕРУ!C135+'00075+'!C135+'00086+'!C135+'00868+'!C135+'00224+'!C135+'00207+'!C135+'00854'!C135+'00317'!C135+'01045'!C135+'00490'!C135+'00424'!C135+'00853'!C135+'00494'!C135+'00855'!C135+'01152'!C135</f>
        <v>372</v>
      </c>
      <c r="D135" s="109">
        <f>ОПЕРУ!D135+'00075+'!D135+'00086+'!D135+'00868+'!D135+'00224+'!D135+'00207+'!D135+'00854'!D135+'00317'!D135+'01045'!D135+'00490'!D135+'00424'!D135+'00853'!D135+'00494'!D135+'00855'!D135+'01152'!D135</f>
        <v>6581300</v>
      </c>
      <c r="E135" s="109">
        <f>ОПЕРУ!E135+'00075+'!E135+'00086+'!E135+'00868+'!E135+'00224+'!E135+'00207+'!E135+'00854'!E135+'00317'!E135+'01045'!E135+'00490'!E135+'00424'!E135+'00853'!E135+'00494'!E135+'00855'!E135+'01152'!E135</f>
        <v>0</v>
      </c>
      <c r="F135" s="154">
        <f>ОПЕРУ!F135+'00075+'!F135+'00086+'!F135+'00868+'!F135+'00224+'!F135+'00207+'!F135+'00854'!F135+'00317'!F135+'01045'!F135+'00490'!F135+'00424'!F135+'00853'!F135+'00494'!F135+'00855'!F135+'01152'!F135</f>
        <v>0</v>
      </c>
      <c r="H135" s="35"/>
      <c r="I135" s="35"/>
      <c r="J135" s="35"/>
      <c r="K135" s="35"/>
    </row>
    <row r="136" spans="1:11" s="32" customFormat="1" x14ac:dyDescent="0.2">
      <c r="A136" s="25"/>
      <c r="B136" s="40" t="s">
        <v>164</v>
      </c>
      <c r="C136" s="109">
        <f>ОПЕРУ!C136+'00075+'!C136+'00086+'!C136+'00868+'!C136+'00224+'!C136+'00207+'!C136+'00854'!C136+'00317'!C136+'01045'!C136+'00490'!C136+'00424'!C136+'00853'!C136+'00494'!C136+'00855'!C136+'01152'!C136</f>
        <v>86</v>
      </c>
      <c r="D136" s="109">
        <f>ОПЕРУ!D136+'00075+'!D136+'00086+'!D136+'00868+'!D136+'00224+'!D136+'00207+'!D136+'00854'!D136+'00317'!D136+'01045'!D136+'00490'!D136+'00424'!D136+'00853'!D136+'00494'!D136+'00855'!D136+'01152'!D136</f>
        <v>2703720</v>
      </c>
      <c r="E136" s="109">
        <f>ОПЕРУ!E136+'00075+'!E136+'00086+'!E136+'00868+'!E136+'00224+'!E136+'00207+'!E136+'00854'!E136+'00317'!E136+'01045'!E136+'00490'!E136+'00424'!E136+'00853'!E136+'00494'!E136+'00855'!E136+'01152'!E136</f>
        <v>0</v>
      </c>
      <c r="F136" s="154">
        <f>ОПЕРУ!F136+'00075+'!F136+'00086+'!F136+'00868+'!F136+'00224+'!F136+'00207+'!F136+'00854'!F136+'00317'!F136+'01045'!F136+'00490'!F136+'00424'!F136+'00853'!F136+'00494'!F136+'00855'!F136+'01152'!F136</f>
        <v>0</v>
      </c>
      <c r="H136" s="35"/>
      <c r="I136" s="35"/>
      <c r="J136" s="35"/>
      <c r="K136" s="35"/>
    </row>
    <row r="137" spans="1:11" s="32" customFormat="1" x14ac:dyDescent="0.2">
      <c r="A137" s="25"/>
      <c r="B137" s="40" t="s">
        <v>165</v>
      </c>
      <c r="C137" s="109">
        <f>ОПЕРУ!C137+'00075+'!C137+'00086+'!C137+'00868+'!C137+'00224+'!C137+'00207+'!C137+'00854'!C137+'00317'!C137+'01045'!C137+'00490'!C137+'00424'!C137+'00853'!C137+'00494'!C137+'00855'!C137+'01152'!C137</f>
        <v>27</v>
      </c>
      <c r="D137" s="109">
        <f>ОПЕРУ!D137+'00075+'!D137+'00086+'!D137+'00868+'!D137+'00224+'!D137+'00207+'!D137+'00854'!D137+'00317'!D137+'01045'!D137+'00490'!D137+'00424'!D137+'00853'!D137+'00494'!D137+'00855'!D137+'01152'!D137</f>
        <v>81892</v>
      </c>
      <c r="E137" s="109">
        <f>ОПЕРУ!E137+'00075+'!E137+'00086+'!E137+'00868+'!E137+'00224+'!E137+'00207+'!E137+'00854'!E137+'00317'!E137+'01045'!E137+'00490'!E137+'00424'!E137+'00853'!E137+'00494'!E137+'00855'!E137+'01152'!E137</f>
        <v>0</v>
      </c>
      <c r="F137" s="154">
        <f>ОПЕРУ!F137+'00075+'!F137+'00086+'!F137+'00868+'!F137+'00224+'!F137+'00207+'!F137+'00854'!F137+'00317'!F137+'01045'!F137+'00490'!F137+'00424'!F137+'00853'!F137+'00494'!F137+'00855'!F137+'01152'!F137</f>
        <v>0</v>
      </c>
      <c r="H137" s="35"/>
      <c r="I137" s="35"/>
      <c r="J137" s="35"/>
      <c r="K137" s="35"/>
    </row>
    <row r="138" spans="1:11" s="32" customFormat="1" x14ac:dyDescent="0.2">
      <c r="A138" s="25"/>
      <c r="B138" s="40" t="s">
        <v>166</v>
      </c>
      <c r="C138" s="109">
        <f>ОПЕРУ!C138+'00075+'!C138+'00086+'!C138+'00868+'!C138+'00224+'!C138+'00207+'!C138+'00854'!C138+'00317'!C138+'01045'!C138+'00490'!C138+'00424'!C138+'00853'!C138+'00494'!C138+'00855'!C138+'01152'!C138</f>
        <v>840</v>
      </c>
      <c r="D138" s="109">
        <f>ОПЕРУ!D138+'00075+'!D138+'00086+'!D138+'00868+'!D138+'00224+'!D138+'00207+'!D138+'00854'!D138+'00317'!D138+'01045'!D138+'00490'!D138+'00424'!D138+'00853'!D138+'00494'!D138+'00855'!D138+'01152'!D138</f>
        <v>5213590</v>
      </c>
      <c r="E138" s="109">
        <f>ОПЕРУ!E138+'00075+'!E138+'00086+'!E138+'00868+'!E138+'00224+'!E138+'00207+'!E138+'00854'!E138+'00317'!E138+'01045'!E138+'00490'!E138+'00424'!E138+'00853'!E138+'00494'!E138+'00855'!E138+'01152'!E138</f>
        <v>0</v>
      </c>
      <c r="F138" s="154">
        <f>ОПЕРУ!F138+'00075+'!F138+'00086+'!F138+'00868+'!F138+'00224+'!F138+'00207+'!F138+'00854'!F138+'00317'!F138+'01045'!F138+'00490'!F138+'00424'!F138+'00853'!F138+'00494'!F138+'00855'!F138+'01152'!F138</f>
        <v>0</v>
      </c>
      <c r="H138" s="35"/>
      <c r="I138" s="35"/>
      <c r="J138" s="35"/>
      <c r="K138" s="35"/>
    </row>
    <row r="139" spans="1:11" s="32" customFormat="1" ht="25.5" x14ac:dyDescent="0.2">
      <c r="A139" s="25"/>
      <c r="B139" s="40" t="s">
        <v>167</v>
      </c>
      <c r="C139" s="109">
        <f>ОПЕРУ!C139+'00075+'!C139+'00086+'!C139+'00868+'!C139+'00224+'!C139+'00207+'!C139+'00854'!C139+'00317'!C139+'01045'!C139+'00490'!C139+'00424'!C139+'00853'!C139+'00494'!C139+'00855'!C139+'01152'!C139</f>
        <v>1</v>
      </c>
      <c r="D139" s="109">
        <f>ОПЕРУ!D139+'00075+'!D139+'00086+'!D139+'00868+'!D139+'00224+'!D139+'00207+'!D139+'00854'!D139+'00317'!D139+'01045'!D139+'00490'!D139+'00424'!D139+'00853'!D139+'00494'!D139+'00855'!D139+'01152'!D139</f>
        <v>98000</v>
      </c>
      <c r="E139" s="109">
        <f>ОПЕРУ!E139+'00075+'!E139+'00086+'!E139+'00868+'!E139+'00224+'!E139+'00207+'!E139+'00854'!E139+'00317'!E139+'01045'!E139+'00490'!E139+'00424'!E139+'00853'!E139+'00494'!E139+'00855'!E139+'01152'!E139</f>
        <v>0</v>
      </c>
      <c r="F139" s="154">
        <f>ОПЕРУ!F139+'00075+'!F139+'00086+'!F139+'00868+'!F139+'00224+'!F139+'00207+'!F139+'00854'!F139+'00317'!F139+'01045'!F139+'00490'!F139+'00424'!F139+'00853'!F139+'00494'!F139+'00855'!F139+'01152'!F139</f>
        <v>0</v>
      </c>
      <c r="H139" s="35"/>
      <c r="I139" s="35"/>
      <c r="J139" s="35"/>
      <c r="K139" s="35"/>
    </row>
    <row r="140" spans="1:11" s="32" customFormat="1" x14ac:dyDescent="0.2">
      <c r="A140" s="25"/>
      <c r="B140" s="40" t="s">
        <v>168</v>
      </c>
      <c r="C140" s="109">
        <f>ОПЕРУ!C140+'00075+'!C140+'00086+'!C140+'00868+'!C140+'00224+'!C140+'00207+'!C140+'00854'!C140+'00317'!C140+'01045'!C140+'00490'!C140+'00424'!C140+'00853'!C140+'00494'!C140+'00855'!C140+'01152'!C140</f>
        <v>1</v>
      </c>
      <c r="D140" s="109">
        <f>ОПЕРУ!D140+'00075+'!D140+'00086+'!D140+'00868+'!D140+'00224+'!D140+'00207+'!D140+'00854'!D140+'00317'!D140+'01045'!D140+'00490'!D140+'00424'!D140+'00853'!D140+'00494'!D140+'00855'!D140+'01152'!D140</f>
        <v>200000</v>
      </c>
      <c r="E140" s="109">
        <f>ОПЕРУ!E140+'00075+'!E140+'00086+'!E140+'00868+'!E140+'00224+'!E140+'00207+'!E140+'00854'!E140+'00317'!E140+'01045'!E140+'00490'!E140+'00424'!E140+'00853'!E140+'00494'!E140+'00855'!E140+'01152'!E140</f>
        <v>0</v>
      </c>
      <c r="F140" s="154">
        <f>ОПЕРУ!F140+'00075+'!F140+'00086+'!F140+'00868+'!F140+'00224+'!F140+'00207+'!F140+'00854'!F140+'00317'!F140+'01045'!F140+'00490'!F140+'00424'!F140+'00853'!F140+'00494'!F140+'00855'!F140+'01152'!F140</f>
        <v>0</v>
      </c>
      <c r="H140" s="35"/>
      <c r="I140" s="35"/>
      <c r="J140" s="35"/>
      <c r="K140" s="35"/>
    </row>
    <row r="141" spans="1:11" s="32" customFormat="1" x14ac:dyDescent="0.2">
      <c r="A141" s="25"/>
      <c r="B141" s="40" t="s">
        <v>169</v>
      </c>
      <c r="C141" s="109">
        <f>ОПЕРУ!C141+'00075+'!C141+'00086+'!C141+'00868+'!C141+'00224+'!C141+'00207+'!C141+'00854'!C141+'00317'!C141+'01045'!C141+'00490'!C141+'00424'!C141+'00853'!C141+'00494'!C141+'00855'!C141+'01152'!C141</f>
        <v>44</v>
      </c>
      <c r="D141" s="109">
        <f>ОПЕРУ!D141+'00075+'!D141+'00086+'!D141+'00868+'!D141+'00224+'!D141+'00207+'!D141+'00854'!D141+'00317'!D141+'01045'!D141+'00490'!D141+'00424'!D141+'00853'!D141+'00494'!D141+'00855'!D141+'01152'!D141</f>
        <v>2392180</v>
      </c>
      <c r="E141" s="109">
        <f>ОПЕРУ!E141+'00075+'!E141+'00086+'!E141+'00868+'!E141+'00224+'!E141+'00207+'!E141+'00854'!E141+'00317'!E141+'01045'!E141+'00490'!E141+'00424'!E141+'00853'!E141+'00494'!E141+'00855'!E141+'01152'!E141</f>
        <v>0</v>
      </c>
      <c r="F141" s="154">
        <f>ОПЕРУ!F141+'00075+'!F141+'00086+'!F141+'00868+'!F141+'00224+'!F141+'00207+'!F141+'00854'!F141+'00317'!F141+'01045'!F141+'00490'!F141+'00424'!F141+'00853'!F141+'00494'!F141+'00855'!F141+'01152'!F141</f>
        <v>0</v>
      </c>
      <c r="H141" s="35"/>
      <c r="I141" s="35"/>
      <c r="J141" s="35"/>
      <c r="K141" s="35"/>
    </row>
    <row r="142" spans="1:11" s="32" customFormat="1" x14ac:dyDescent="0.2">
      <c r="A142" s="25"/>
      <c r="B142" s="40" t="s">
        <v>170</v>
      </c>
      <c r="C142" s="109">
        <f>ОПЕРУ!C142+'00075+'!C142+'00086+'!C142+'00868+'!C142+'00224+'!C142+'00207+'!C142+'00854'!C142+'00317'!C142+'01045'!C142+'00490'!C142+'00424'!C142+'00853'!C142+'00494'!C142+'00855'!C142+'01152'!C142</f>
        <v>148</v>
      </c>
      <c r="D142" s="109">
        <f>ОПЕРУ!D142+'00075+'!D142+'00086+'!D142+'00868+'!D142+'00224+'!D142+'00207+'!D142+'00854'!D142+'00317'!D142+'01045'!D142+'00490'!D142+'00424'!D142+'00853'!D142+'00494'!D142+'00855'!D142+'01152'!D142</f>
        <v>411450</v>
      </c>
      <c r="E142" s="109">
        <f>ОПЕРУ!E142+'00075+'!E142+'00086+'!E142+'00868+'!E142+'00224+'!E142+'00207+'!E142+'00854'!E142+'00317'!E142+'01045'!E142+'00490'!E142+'00424'!E142+'00853'!E142+'00494'!E142+'00855'!E142+'01152'!E142</f>
        <v>0</v>
      </c>
      <c r="F142" s="154">
        <f>ОПЕРУ!F142+'00075+'!F142+'00086+'!F142+'00868+'!F142+'00224+'!F142+'00207+'!F142+'00854'!F142+'00317'!F142+'01045'!F142+'00490'!F142+'00424'!F142+'00853'!F142+'00494'!F142+'00855'!F142+'01152'!F142</f>
        <v>0</v>
      </c>
      <c r="H142" s="35"/>
      <c r="I142" s="35"/>
      <c r="J142" s="35"/>
      <c r="K142" s="35"/>
    </row>
    <row r="143" spans="1:11" s="32" customFormat="1" x14ac:dyDescent="0.2">
      <c r="A143" s="25"/>
      <c r="B143" s="40" t="s">
        <v>277</v>
      </c>
      <c r="C143" s="109">
        <f>ОПЕРУ!C143+'00075+'!C143+'00086+'!C143+'00868+'!C143+'00224+'!C143+'00207+'!C143+'00854'!C143+'00317'!C143+'01045'!C143+'00490'!C143+'00424'!C143+'00853'!C143+'00494'!C143+'00855'!C143+'01152'!C143</f>
        <v>15</v>
      </c>
      <c r="D143" s="109">
        <f>ОПЕРУ!D143+'00075+'!D143+'00086+'!D143+'00868+'!D143+'00224+'!D143+'00207+'!D143+'00854'!D143+'00317'!D143+'01045'!D143+'00490'!D143+'00424'!D143+'00853'!D143+'00494'!D143+'00855'!D143+'01152'!D143</f>
        <v>330000</v>
      </c>
      <c r="E143" s="109"/>
      <c r="F143" s="154"/>
      <c r="H143" s="35"/>
      <c r="I143" s="35"/>
      <c r="J143" s="35"/>
      <c r="K143" s="35"/>
    </row>
    <row r="144" spans="1:11" s="32" customFormat="1" x14ac:dyDescent="0.2">
      <c r="A144" s="25"/>
      <c r="B144" s="40" t="s">
        <v>278</v>
      </c>
      <c r="C144" s="109">
        <f>ОПЕРУ!C144+'00075+'!C144+'00086+'!C144+'00868+'!C144+'00224+'!C144+'00207+'!C144+'00854'!C144+'00317'!C144+'01045'!C144+'00490'!C144+'00424'!C144+'00853'!C144+'00494'!C144+'00855'!C144+'01152'!C144</f>
        <v>10</v>
      </c>
      <c r="D144" s="109">
        <f>ОПЕРУ!D144+'00075+'!D144+'00086+'!D144+'00868+'!D144+'00224+'!D144+'00207+'!D144+'00854'!D144+'00317'!D144+'01045'!D144+'00490'!D144+'00424'!D144+'00853'!D144+'00494'!D144+'00855'!D144+'01152'!D144</f>
        <v>220000</v>
      </c>
      <c r="E144" s="109"/>
      <c r="F144" s="154"/>
      <c r="H144" s="35"/>
      <c r="I144" s="35"/>
      <c r="J144" s="35"/>
      <c r="K144" s="35"/>
    </row>
    <row r="145" spans="1:11" s="32" customFormat="1" x14ac:dyDescent="0.2">
      <c r="A145" s="25"/>
      <c r="B145" s="40" t="s">
        <v>171</v>
      </c>
      <c r="C145" s="109">
        <f>ОПЕРУ!C145+'00075+'!C145+'00086+'!C145+'00868+'!C145+'00224+'!C145+'00207+'!C145+'00854'!C145+'00317'!C145+'01045'!C145+'00490'!C145+'00424'!C145+'00853'!C145+'00494'!C145+'00855'!C145+'01152'!C145</f>
        <v>400</v>
      </c>
      <c r="D145" s="109">
        <f>ОПЕРУ!D145+'00075+'!D145+'00086+'!D145+'00868+'!D145+'00224+'!D145+'00207+'!D145+'00854'!D145+'00317'!D145+'01045'!D145+'00490'!D145+'00424'!D145+'00853'!D145+'00494'!D145+'00855'!D145+'01152'!D145</f>
        <v>680000</v>
      </c>
      <c r="E145" s="109">
        <f>ОПЕРУ!E145+'00075+'!E145+'00086+'!E145+'00868+'!E145+'00224+'!E145+'00207+'!E145+'00854'!E145+'00317'!E145+'01045'!E145+'00490'!E145+'00424'!E145+'00853'!E145+'00494'!E145+'00855'!E145+'01152'!E145</f>
        <v>0</v>
      </c>
      <c r="F145" s="154">
        <f>ОПЕРУ!F145+'00075+'!F145+'00086+'!F145+'00868+'!F145+'00224+'!F145+'00207+'!F145+'00854'!F145+'00317'!F145+'01045'!F145+'00490'!F145+'00424'!F145+'00853'!F145+'00494'!F145+'00855'!F145+'01152'!F145</f>
        <v>0</v>
      </c>
      <c r="H145" s="35"/>
      <c r="I145" s="35"/>
      <c r="J145" s="35"/>
      <c r="K145" s="35"/>
    </row>
    <row r="146" spans="1:11" s="32" customFormat="1" x14ac:dyDescent="0.2">
      <c r="A146" s="25"/>
      <c r="B146" s="24" t="s">
        <v>172</v>
      </c>
      <c r="C146" s="109">
        <f>ОПЕРУ!C146+'00075+'!C146+'00086+'!C146+'00868+'!C146+'00224+'!C146+'00207+'!C146+'00854'!C146+'00317'!C146+'01045'!C146+'00490'!C146+'00424'!C146+'00853'!C146+'00494'!C146+'00855'!C146+'01152'!C146</f>
        <v>8</v>
      </c>
      <c r="D146" s="109">
        <f>ОПЕРУ!D146+'00075+'!D146+'00086+'!D146+'00868+'!D146+'00224+'!D146+'00207+'!D146+'00854'!D146+'00317'!D146+'01045'!D146+'00490'!D146+'00424'!D146+'00853'!D146+'00494'!D146+'00855'!D146+'01152'!D146</f>
        <v>98000</v>
      </c>
      <c r="E146" s="109">
        <f>ОПЕРУ!E146+'00075+'!E146+'00086+'!E146+'00868+'!E146+'00224+'!E146+'00207+'!E146+'00854'!E146+'00317'!E146+'01045'!E146+'00490'!E146+'00424'!E146+'00853'!E146+'00494'!E146+'00855'!E146+'01152'!E146</f>
        <v>0</v>
      </c>
      <c r="F146" s="154">
        <f>ОПЕРУ!F146+'00075+'!F146+'00086+'!F146+'00868+'!F146+'00224+'!F146+'00207+'!F146+'00854'!F146+'00317'!F146+'01045'!F146+'00490'!F146+'00424'!F146+'00853'!F146+'00494'!F146+'00855'!F146+'01152'!F146</f>
        <v>0</v>
      </c>
      <c r="H146" s="35"/>
      <c r="I146" s="35"/>
      <c r="J146" s="35"/>
      <c r="K146" s="35"/>
    </row>
    <row r="147" spans="1:11" s="32" customFormat="1" x14ac:dyDescent="0.2">
      <c r="A147" s="25"/>
      <c r="B147" s="40" t="s">
        <v>173</v>
      </c>
      <c r="C147" s="109">
        <f>ОПЕРУ!C147+'00075+'!C147+'00086+'!C147+'00868+'!C147+'00224+'!C147+'00207+'!C147+'00854'!C147+'00317'!C147+'01045'!C147+'00490'!C147+'00424'!C147+'00853'!C147+'00494'!C147+'00855'!C147+'01152'!C147</f>
        <v>76</v>
      </c>
      <c r="D147" s="109">
        <f>ОПЕРУ!D147+'00075+'!D147+'00086+'!D147+'00868+'!D147+'00224+'!D147+'00207+'!D147+'00854'!D147+'00317'!D147+'01045'!D147+'00490'!D147+'00424'!D147+'00853'!D147+'00494'!D147+'00855'!D147+'01152'!D147</f>
        <v>241000</v>
      </c>
      <c r="E147" s="109">
        <f>ОПЕРУ!E147+'00075+'!E147+'00086+'!E147+'00868+'!E147+'00224+'!E147+'00207+'!E147+'00854'!E147+'00317'!E147+'01045'!E147+'00490'!E147+'00424'!E147+'00853'!E147+'00494'!E147+'00855'!E147+'01152'!E147</f>
        <v>0</v>
      </c>
      <c r="F147" s="154">
        <f>ОПЕРУ!F147+'00075+'!F147+'00086+'!F147+'00868+'!F147+'00224+'!F147+'00207+'!F147+'00854'!F147+'00317'!F147+'01045'!F147+'00490'!F147+'00424'!F147+'00853'!F147+'00494'!F147+'00855'!F147+'01152'!F147</f>
        <v>0</v>
      </c>
      <c r="H147" s="35"/>
      <c r="I147" s="35"/>
      <c r="J147" s="35"/>
      <c r="K147" s="35"/>
    </row>
    <row r="148" spans="1:11" s="32" customFormat="1" x14ac:dyDescent="0.2">
      <c r="A148" s="25"/>
      <c r="B148" s="40" t="s">
        <v>174</v>
      </c>
      <c r="C148" s="109">
        <f>ОПЕРУ!C148+'00075+'!C148+'00086+'!C148+'00868+'!C148+'00224+'!C148+'00207+'!C148+'00854'!C148+'00317'!C148+'01045'!C148+'00490'!C148+'00424'!C148+'00853'!C148+'00494'!C148+'00855'!C148+'01152'!C148</f>
        <v>16</v>
      </c>
      <c r="D148" s="109">
        <f>ОПЕРУ!D148+'00075+'!D148+'00086+'!D148+'00868+'!D148+'00224+'!D148+'00207+'!D148+'00854'!D148+'00317'!D148+'01045'!D148+'00490'!D148+'00424'!D148+'00853'!D148+'00494'!D148+'00855'!D148+'01152'!D148</f>
        <v>96500</v>
      </c>
      <c r="E148" s="109">
        <f>ОПЕРУ!E148+'00075+'!E148+'00086+'!E148+'00868+'!E148+'00224+'!E148+'00207+'!E148+'00854'!E148+'00317'!E148+'01045'!E148+'00490'!E148+'00424'!E148+'00853'!E148+'00494'!E148+'00855'!E148+'01152'!E148</f>
        <v>0</v>
      </c>
      <c r="F148" s="154">
        <f>ОПЕРУ!F148+'00075+'!F148+'00086+'!F148+'00868+'!F148+'00224+'!F148+'00207+'!F148+'00854'!F148+'00317'!F148+'01045'!F148+'00490'!F148+'00424'!F148+'00853'!F148+'00494'!F148+'00855'!F148+'01152'!F148</f>
        <v>0</v>
      </c>
      <c r="H148" s="35"/>
      <c r="I148" s="35"/>
      <c r="J148" s="35"/>
      <c r="K148" s="35"/>
    </row>
    <row r="149" spans="1:11" s="32" customFormat="1" x14ac:dyDescent="0.2">
      <c r="A149" s="25"/>
      <c r="B149" s="40" t="s">
        <v>175</v>
      </c>
      <c r="C149" s="109">
        <f>ОПЕРУ!C149+'00075+'!C149+'00086+'!C149+'00868+'!C149+'00224+'!C149+'00207+'!C149+'00854'!C149+'00317'!C149+'01045'!C149+'00490'!C149+'00424'!C149+'00853'!C149+'00494'!C149+'00855'!C149+'01152'!C149</f>
        <v>26</v>
      </c>
      <c r="D149" s="109">
        <f>ОПЕРУ!D149+'00075+'!D149+'00086+'!D149+'00868+'!D149+'00224+'!D149+'00207+'!D149+'00854'!D149+'00317'!D149+'01045'!D149+'00490'!D149+'00424'!D149+'00853'!D149+'00494'!D149+'00855'!D149+'01152'!D149</f>
        <v>1845000</v>
      </c>
      <c r="E149" s="109">
        <f>ОПЕРУ!E149+'00075+'!E149+'00086+'!E149+'00868+'!E149+'00224+'!E149+'00207+'!E149+'00854'!E149+'00317'!E149+'01045'!E149+'00490'!E149+'00424'!E149+'00853'!E149+'00494'!E149+'00855'!E149+'01152'!E149</f>
        <v>0</v>
      </c>
      <c r="F149" s="154">
        <f>ОПЕРУ!F149+'00075+'!F149+'00086+'!F149+'00868+'!F149+'00224+'!F149+'00207+'!F149+'00854'!F149+'00317'!F149+'01045'!F149+'00490'!F149+'00424'!F149+'00853'!F149+'00494'!F149+'00855'!F149+'01152'!F149</f>
        <v>0</v>
      </c>
      <c r="H149" s="35"/>
      <c r="I149" s="35"/>
      <c r="J149" s="35"/>
      <c r="K149" s="35"/>
    </row>
    <row r="150" spans="1:11" s="32" customFormat="1" ht="27.75" customHeight="1" x14ac:dyDescent="0.2">
      <c r="A150" s="25"/>
      <c r="B150" s="40" t="s">
        <v>176</v>
      </c>
      <c r="C150" s="109">
        <f>ОПЕРУ!C150+'00075+'!C150+'00086+'!C150+'00868+'!C150+'00224+'!C150+'00207+'!C150+'00854'!C150+'00317'!C150+'01045'!C150+'00490'!C150+'00424'!C150+'00853'!C150+'00494'!C150+'00855'!C150+'01152'!C150</f>
        <v>1</v>
      </c>
      <c r="D150" s="109">
        <f>ОПЕРУ!D150+'00075+'!D150+'00086+'!D150+'00868+'!D150+'00224+'!D150+'00207+'!D150+'00854'!D150+'00317'!D150+'01045'!D150+'00490'!D150+'00424'!D150+'00853'!D150+'00494'!D150+'00855'!D150+'01152'!D150</f>
        <v>950000</v>
      </c>
      <c r="E150" s="109">
        <f>ОПЕРУ!E150+'00075+'!E150+'00086+'!E150+'00868+'!E150+'00224+'!E150+'00207+'!E150+'00854'!E150+'00317'!E150+'01045'!E150+'00490'!E150+'00424'!E150+'00853'!E150+'00494'!E150+'00855'!E150+'01152'!E150</f>
        <v>0</v>
      </c>
      <c r="F150" s="154">
        <f>ОПЕРУ!F150+'00075+'!F150+'00086+'!F150+'00868+'!F150+'00224+'!F150+'00207+'!F150+'00854'!F150+'00317'!F150+'01045'!F150+'00490'!F150+'00424'!F150+'00853'!F150+'00494'!F150+'00855'!F150+'01152'!F150</f>
        <v>0</v>
      </c>
      <c r="H150" s="35"/>
      <c r="I150" s="35"/>
      <c r="J150" s="35"/>
      <c r="K150" s="35"/>
    </row>
    <row r="151" spans="1:11" s="32" customFormat="1" x14ac:dyDescent="0.2">
      <c r="A151" s="25"/>
      <c r="B151" s="321" t="s">
        <v>177</v>
      </c>
      <c r="C151" s="109">
        <f>ОПЕРУ!C151+'00075+'!C151+'00086+'!C151+'00868+'!C151+'00224+'!C151+'00207+'!C151+'00854'!C151+'00317'!C151+'01045'!C151+'00490'!C151+'00424'!C151+'00853'!C151+'00494'!C151+'00855'!C151+'01152'!C151</f>
        <v>4300</v>
      </c>
      <c r="D151" s="109">
        <f>ОПЕРУ!D151+'00075+'!D151+'00086+'!D151+'00868+'!D151+'00224+'!D151+'00207+'!D151+'00854'!D151+'00317'!D151+'01045'!D151+'00490'!D151+'00424'!D151+'00853'!D151+'00494'!D151+'00855'!D151+'01152'!D151</f>
        <v>1081000</v>
      </c>
      <c r="E151" s="109">
        <f>ОПЕРУ!E151+'00075+'!E151+'00086+'!E151+'00868+'!E151+'00224+'!E151+'00207+'!E151+'00854'!E151+'00317'!E151+'01045'!E151+'00490'!E151+'00424'!E151+'00853'!E151+'00494'!E151+'00855'!E151+'01152'!E151</f>
        <v>0</v>
      </c>
      <c r="F151" s="154">
        <f>ОПЕРУ!F151+'00075+'!F151+'00086+'!F151+'00868+'!F151+'00224+'!F151+'00207+'!F151+'00854'!F151+'00317'!F151+'01045'!F151+'00490'!F151+'00424'!F151+'00853'!F151+'00494'!F151+'00855'!F151+'01152'!F151</f>
        <v>0</v>
      </c>
      <c r="H151" s="35"/>
      <c r="I151" s="35"/>
      <c r="J151" s="35"/>
      <c r="K151" s="35"/>
    </row>
    <row r="152" spans="1:11" s="32" customFormat="1" x14ac:dyDescent="0.2">
      <c r="A152" s="25"/>
      <c r="B152" s="144" t="s">
        <v>178</v>
      </c>
      <c r="C152" s="109">
        <f>ОПЕРУ!C152+'00075+'!C152+'00086+'!C152+'00868+'!C152+'00224+'!C152+'00207+'!C152+'00854'!C152+'00317'!C152+'01045'!C152+'00490'!C152+'00424'!C152+'00853'!C152+'00494'!C152+'00855'!C152+'01152'!C152</f>
        <v>1</v>
      </c>
      <c r="D152" s="109">
        <f>ОПЕРУ!D152+'00075+'!D152+'00086+'!D152+'00868+'!D152+'00224+'!D152+'00207+'!D152+'00854'!D152+'00317'!D152+'01045'!D152+'00490'!D152+'00424'!D152+'00853'!D152+'00494'!D152+'00855'!D152+'01152'!D152</f>
        <v>580000</v>
      </c>
      <c r="E152" s="109">
        <f>ОПЕРУ!E152+'00075+'!E152+'00086+'!E152+'00868+'!E152+'00224+'!E152+'00207+'!E152+'00854'!E152+'00317'!E152+'01045'!E152+'00490'!E152+'00424'!E152+'00853'!E152+'00494'!E152+'00855'!E152+'01152'!E152</f>
        <v>0</v>
      </c>
      <c r="F152" s="154">
        <f>ОПЕРУ!F152+'00075+'!F152+'00086+'!F152+'00868+'!F152+'00224+'!F152+'00207+'!F152+'00854'!F152+'00317'!F152+'01045'!F152+'00490'!F152+'00424'!F152+'00853'!F152+'00494'!F152+'00855'!F152+'01152'!F152</f>
        <v>0</v>
      </c>
      <c r="H152" s="35"/>
      <c r="I152" s="35"/>
      <c r="J152" s="35"/>
      <c r="K152" s="35"/>
    </row>
    <row r="153" spans="1:11" s="32" customFormat="1" x14ac:dyDescent="0.2">
      <c r="A153" s="25"/>
      <c r="B153" s="319" t="s">
        <v>179</v>
      </c>
      <c r="C153" s="109">
        <f>ОПЕРУ!C153+'00075+'!C153+'00086+'!C153+'00868+'!C153+'00224+'!C153+'00207+'!C153+'00854'!C153+'00317'!C153+'01045'!C153+'00490'!C153+'00424'!C153+'00853'!C153+'00494'!C153+'00855'!C153+'01152'!C153</f>
        <v>2</v>
      </c>
      <c r="D153" s="109">
        <f>ОПЕРУ!D153+'00075+'!D153+'00086+'!D153+'00868+'!D153+'00224+'!D153+'00207+'!D153+'00854'!D153+'00317'!D153+'01045'!D153+'00490'!D153+'00424'!D153+'00853'!D153+'00494'!D153+'00855'!D153+'01152'!D153</f>
        <v>182800</v>
      </c>
      <c r="E153" s="109">
        <f>ОПЕРУ!E153+'00075+'!E153+'00086+'!E153+'00868+'!E153+'00224+'!E153+'00207+'!E153+'00854'!E153+'00317'!E153+'01045'!E153+'00490'!E153+'00424'!E153+'00853'!E153+'00494'!E153+'00855'!E153+'01152'!E153</f>
        <v>0</v>
      </c>
      <c r="F153" s="154">
        <f>ОПЕРУ!F153+'00075+'!F153+'00086+'!F153+'00868+'!F153+'00224+'!F153+'00207+'!F153+'00854'!F153+'00317'!F153+'01045'!F153+'00490'!F153+'00424'!F153+'00853'!F153+'00494'!F153+'00855'!F153+'01152'!F153</f>
        <v>0</v>
      </c>
      <c r="H153" s="35"/>
      <c r="I153" s="35"/>
      <c r="J153" s="35"/>
      <c r="K153" s="35"/>
    </row>
    <row r="154" spans="1:11" s="32" customFormat="1" ht="25.5" x14ac:dyDescent="0.2">
      <c r="A154" s="25"/>
      <c r="B154" s="24" t="s">
        <v>180</v>
      </c>
      <c r="C154" s="109">
        <f>ОПЕРУ!C154+'00075+'!C154+'00086+'!C154+'00868+'!C154+'00224+'!C154+'00207+'!C154+'00854'!C154+'00317'!C154+'01045'!C154+'00490'!C154+'00424'!C154+'00853'!C154+'00494'!C154+'00855'!C154+'01152'!C154</f>
        <v>2</v>
      </c>
      <c r="D154" s="109">
        <f>ОПЕРУ!D154+'00075+'!D154+'00086+'!D154+'00868+'!D154+'00224+'!D154+'00207+'!D154+'00854'!D154+'00317'!D154+'01045'!D154+'00490'!D154+'00424'!D154+'00853'!D154+'00494'!D154+'00855'!D154+'01152'!D154</f>
        <v>310500</v>
      </c>
      <c r="E154" s="109">
        <f>ОПЕРУ!E154+'00075+'!E154+'00086+'!E154+'00868+'!E154+'00224+'!E154+'00207+'!E154+'00854'!E154+'00317'!E154+'01045'!E154+'00490'!E154+'00424'!E154+'00853'!E154+'00494'!E154+'00855'!E154+'01152'!E154</f>
        <v>0</v>
      </c>
      <c r="F154" s="154">
        <f>ОПЕРУ!F154+'00075+'!F154+'00086+'!F154+'00868+'!F154+'00224+'!F154+'00207+'!F154+'00854'!F154+'00317'!F154+'01045'!F154+'00490'!F154+'00424'!F154+'00853'!F154+'00494'!F154+'00855'!F154+'01152'!F154</f>
        <v>0</v>
      </c>
      <c r="H154" s="35"/>
      <c r="I154" s="35"/>
      <c r="J154" s="35"/>
      <c r="K154" s="35"/>
    </row>
    <row r="155" spans="1:11" s="32" customFormat="1" x14ac:dyDescent="0.2">
      <c r="A155" s="25"/>
      <c r="B155" s="24" t="s">
        <v>181</v>
      </c>
      <c r="C155" s="109">
        <f>ОПЕРУ!C155+'00075+'!C155+'00086+'!C155+'00868+'!C155+'00224+'!C155+'00207+'!C155+'00854'!C155+'00317'!C155+'01045'!C155+'00490'!C155+'00424'!C155+'00853'!C155+'00494'!C155+'00855'!C155+'01152'!C155</f>
        <v>24</v>
      </c>
      <c r="D155" s="109">
        <f>ОПЕРУ!D155+'00075+'!D155+'00086+'!D155+'00868+'!D155+'00224+'!D155+'00207+'!D155+'00854'!D155+'00317'!D155+'01045'!D155+'00490'!D155+'00424'!D155+'00853'!D155+'00494'!D155+'00855'!D155+'01152'!D155</f>
        <v>360000</v>
      </c>
      <c r="E155" s="109">
        <f>ОПЕРУ!E155+'00075+'!E155+'00086+'!E155+'00868+'!E155+'00224+'!E155+'00207+'!E155+'00854'!E155+'00317'!E155+'01045'!E155+'00490'!E155+'00424'!E155+'00853'!E155+'00494'!E155+'00855'!E155+'01152'!E155</f>
        <v>0</v>
      </c>
      <c r="F155" s="154">
        <f>ОПЕРУ!F155+'00075+'!F155+'00086+'!F155+'00868+'!F155+'00224+'!F155+'00207+'!F155+'00854'!F155+'00317'!F155+'01045'!F155+'00490'!F155+'00424'!F155+'00853'!F155+'00494'!F155+'00855'!F155+'01152'!F155</f>
        <v>0</v>
      </c>
      <c r="H155" s="35"/>
      <c r="I155" s="35"/>
      <c r="J155" s="35"/>
      <c r="K155" s="35"/>
    </row>
    <row r="156" spans="1:11" s="32" customFormat="1" ht="25.5" x14ac:dyDescent="0.2">
      <c r="A156" s="25"/>
      <c r="B156" s="24" t="s">
        <v>182</v>
      </c>
      <c r="C156" s="109">
        <f>ОПЕРУ!C156+'00075+'!C156+'00086+'!C156+'00868+'!C156+'00224+'!C156+'00207+'!C156+'00854'!C156+'00317'!C156+'01045'!C156+'00490'!C156+'00424'!C156+'00853'!C156+'00494'!C156+'00855'!C156+'01152'!C156</f>
        <v>1</v>
      </c>
      <c r="D156" s="109">
        <f>ОПЕРУ!D156+'00075+'!D156+'00086+'!D156+'00868+'!D156+'00224+'!D156+'00207+'!D156+'00854'!D156+'00317'!D156+'01045'!D156+'00490'!D156+'00424'!D156+'00853'!D156+'00494'!D156+'00855'!D156+'01152'!D156</f>
        <v>550000</v>
      </c>
      <c r="E156" s="109">
        <f>ОПЕРУ!E156+'00075+'!E156+'00086+'!E156+'00868+'!E156+'00224+'!E156+'00207+'!E156+'00854'!E156+'00317'!E156+'01045'!E156+'00490'!E156+'00424'!E156+'00853'!E156+'00494'!E156+'00855'!E156+'01152'!E156</f>
        <v>0</v>
      </c>
      <c r="F156" s="154">
        <f>ОПЕРУ!F156+'00075+'!F156+'00086+'!F156+'00868+'!F156+'00224+'!F156+'00207+'!F156+'00854'!F156+'00317'!F156+'01045'!F156+'00490'!F156+'00424'!F156+'00853'!F156+'00494'!F156+'00855'!F156+'01152'!F156</f>
        <v>0</v>
      </c>
      <c r="H156" s="35"/>
      <c r="I156" s="35"/>
      <c r="J156" s="35"/>
      <c r="K156" s="35"/>
    </row>
    <row r="157" spans="1:11" s="32" customFormat="1" x14ac:dyDescent="0.2">
      <c r="A157" s="25"/>
      <c r="B157" s="24" t="s">
        <v>183</v>
      </c>
      <c r="C157" s="109">
        <f>ОПЕРУ!C157+'00075+'!C157+'00086+'!C157+'00868+'!C157+'00224+'!C157+'00207+'!C157+'00854'!C157+'00317'!C157+'01045'!C157+'00490'!C157+'00424'!C157+'00853'!C157+'00494'!C157+'00855'!C157+'01152'!C157</f>
        <v>1</v>
      </c>
      <c r="D157" s="109">
        <f>ОПЕРУ!D157+'00075+'!D157+'00086+'!D157+'00868+'!D157+'00224+'!D157+'00207+'!D157+'00854'!D157+'00317'!D157+'01045'!D157+'00490'!D157+'00424'!D157+'00853'!D157+'00494'!D157+'00855'!D157+'01152'!D157</f>
        <v>539000</v>
      </c>
      <c r="E157" s="109">
        <f>ОПЕРУ!E157+'00075+'!E157+'00086+'!E157+'00868+'!E157+'00224+'!E157+'00207+'!E157+'00854'!E157+'00317'!E157+'01045'!E157+'00490'!E157+'00424'!E157+'00853'!E157+'00494'!E157+'00855'!E157+'01152'!E157</f>
        <v>0</v>
      </c>
      <c r="F157" s="154">
        <f>ОПЕРУ!F157+'00075+'!F157+'00086+'!F157+'00868+'!F157+'00224+'!F157+'00207+'!F157+'00854'!F157+'00317'!F157+'01045'!F157+'00490'!F157+'00424'!F157+'00853'!F157+'00494'!F157+'00855'!F157+'01152'!F157</f>
        <v>0</v>
      </c>
      <c r="H157" s="35"/>
      <c r="I157" s="35"/>
      <c r="J157" s="35"/>
      <c r="K157" s="35"/>
    </row>
    <row r="158" spans="1:11" s="32" customFormat="1" ht="25.5" x14ac:dyDescent="0.2">
      <c r="A158" s="25"/>
      <c r="B158" s="24" t="s">
        <v>184</v>
      </c>
      <c r="C158" s="109">
        <f>ОПЕРУ!C158+'00075+'!C158+'00086+'!C158+'00868+'!C158+'00224+'!C158+'00207+'!C158+'00854'!C158+'00317'!C158+'01045'!C158+'00490'!C158+'00424'!C158+'00853'!C158+'00494'!C158+'00855'!C158+'01152'!C158</f>
        <v>1</v>
      </c>
      <c r="D158" s="109">
        <f>ОПЕРУ!D158+'00075+'!D158+'00086+'!D158+'00868+'!D158+'00224+'!D158+'00207+'!D158+'00854'!D158+'00317'!D158+'01045'!D158+'00490'!D158+'00424'!D158+'00853'!D158+'00494'!D158+'00855'!D158+'01152'!D158</f>
        <v>7000000</v>
      </c>
      <c r="E158" s="109">
        <f>ОПЕРУ!E158+'00075+'!E158+'00086+'!E158+'00868+'!E158+'00224+'!E158+'00207+'!E158+'00854'!E158+'00317'!E158+'01045'!E158+'00490'!E158+'00424'!E158+'00853'!E158+'00494'!E158+'00855'!E158+'01152'!E158</f>
        <v>0</v>
      </c>
      <c r="F158" s="154">
        <f>ОПЕРУ!F158+'00075+'!F158+'00086+'!F158+'00868+'!F158+'00224+'!F158+'00207+'!F158+'00854'!F158+'00317'!F158+'01045'!F158+'00490'!F158+'00424'!F158+'00853'!F158+'00494'!F158+'00855'!F158+'01152'!F158</f>
        <v>0</v>
      </c>
      <c r="H158" s="35"/>
      <c r="I158" s="35"/>
      <c r="J158" s="35"/>
      <c r="K158" s="35"/>
    </row>
    <row r="159" spans="1:11" s="32" customFormat="1" ht="25.5" x14ac:dyDescent="0.2">
      <c r="A159" s="25"/>
      <c r="B159" s="24" t="s">
        <v>185</v>
      </c>
      <c r="C159" s="109">
        <f>ОПЕРУ!C159+'00075+'!C159+'00086+'!C159+'00868+'!C159+'00224+'!C159+'00207+'!C159+'00854'!C159+'00317'!C159+'01045'!C159+'00490'!C159+'00424'!C159+'00853'!C159+'00494'!C159+'00855'!C159+'01152'!C159</f>
        <v>1</v>
      </c>
      <c r="D159" s="109">
        <f>ОПЕРУ!D159+'00075+'!D159+'00086+'!D159+'00868+'!D159+'00224+'!D159+'00207+'!D159+'00854'!D159+'00317'!D159+'01045'!D159+'00490'!D159+'00424'!D159+'00853'!D159+'00494'!D159+'00855'!D159+'01152'!D159</f>
        <v>7700000</v>
      </c>
      <c r="E159" s="109">
        <f>ОПЕРУ!E159+'00075+'!E159+'00086+'!E159+'00868+'!E159+'00224+'!E159+'00207+'!E159+'00854'!E159+'00317'!E159+'01045'!E159+'00490'!E159+'00424'!E159+'00853'!E159+'00494'!E159+'00855'!E159+'01152'!E159</f>
        <v>0</v>
      </c>
      <c r="F159" s="154">
        <f>ОПЕРУ!F159+'00075+'!F159+'00086+'!F159+'00868+'!F159+'00224+'!F159+'00207+'!F159+'00854'!F159+'00317'!F159+'01045'!F159+'00490'!F159+'00424'!F159+'00853'!F159+'00494'!F159+'00855'!F159+'01152'!F159</f>
        <v>0</v>
      </c>
      <c r="H159" s="35"/>
      <c r="I159" s="35"/>
      <c r="J159" s="35"/>
      <c r="K159" s="35"/>
    </row>
    <row r="160" spans="1:11" s="32" customFormat="1" x14ac:dyDescent="0.2">
      <c r="A160" s="25"/>
      <c r="B160" s="319" t="s">
        <v>186</v>
      </c>
      <c r="C160" s="109">
        <f>ОПЕРУ!C160+'00075+'!C160+'00086+'!C160+'00868+'!C160+'00224+'!C160+'00207+'!C160+'00854'!C160+'00317'!C160+'01045'!C160+'00490'!C160+'00424'!C160+'00853'!C160+'00494'!C160+'00855'!C160+'01152'!C160</f>
        <v>4</v>
      </c>
      <c r="D160" s="109">
        <f>ОПЕРУ!D160+'00075+'!D160+'00086+'!D160+'00868+'!D160+'00224+'!D160+'00207+'!D160+'00854'!D160+'00317'!D160+'01045'!D160+'00490'!D160+'00424'!D160+'00853'!D160+'00494'!D160+'00855'!D160+'01152'!D160</f>
        <v>140000</v>
      </c>
      <c r="E160" s="109">
        <f>ОПЕРУ!E160+'00075+'!E160+'00086+'!E160+'00868+'!E160+'00224+'!E160+'00207+'!E160+'00854'!E160+'00317'!E160+'01045'!E160+'00490'!E160+'00424'!E160+'00853'!E160+'00494'!E160+'00855'!E160+'01152'!E160</f>
        <v>0</v>
      </c>
      <c r="F160" s="154">
        <f>ОПЕРУ!F160+'00075+'!F160+'00086+'!F160+'00868+'!F160+'00224+'!F160+'00207+'!F160+'00854'!F160+'00317'!F160+'01045'!F160+'00490'!F160+'00424'!F160+'00853'!F160+'00494'!F160+'00855'!F160+'01152'!F160</f>
        <v>0</v>
      </c>
      <c r="H160" s="35"/>
      <c r="I160" s="35"/>
      <c r="J160" s="35"/>
      <c r="K160" s="35"/>
    </row>
    <row r="161" spans="1:11" s="32" customFormat="1" ht="25.5" x14ac:dyDescent="0.2">
      <c r="A161" s="25"/>
      <c r="B161" s="24" t="s">
        <v>187</v>
      </c>
      <c r="C161" s="109">
        <f>ОПЕРУ!C161+'00075+'!C161+'00086+'!C161+'00868+'!C161+'00224+'!C161+'00207+'!C161+'00854'!C161+'00317'!C161+'01045'!C161+'00490'!C161+'00424'!C161+'00853'!C161+'00494'!C161+'00855'!C161+'01152'!C161</f>
        <v>50</v>
      </c>
      <c r="D161" s="109">
        <f>ОПЕРУ!D161+'00075+'!D161+'00086+'!D161+'00868+'!D161+'00224+'!D161+'00207+'!D161+'00854'!D161+'00317'!D161+'01045'!D161+'00490'!D161+'00424'!D161+'00853'!D161+'00494'!D161+'00855'!D161+'01152'!D161</f>
        <v>3000000</v>
      </c>
      <c r="E161" s="109">
        <f>ОПЕРУ!E161+'00075+'!E161+'00086+'!E161+'00868+'!E161+'00224+'!E161+'00207+'!E161+'00854'!E161+'00317'!E161+'01045'!E161+'00490'!E161+'00424'!E161+'00853'!E161+'00494'!E161+'00855'!E161+'01152'!E161</f>
        <v>0</v>
      </c>
      <c r="F161" s="154">
        <f>ОПЕРУ!F161+'00075+'!F161+'00086+'!F161+'00868+'!F161+'00224+'!F161+'00207+'!F161+'00854'!F161+'00317'!F161+'01045'!F161+'00490'!F161+'00424'!F161+'00853'!F161+'00494'!F161+'00855'!F161+'01152'!F161</f>
        <v>0</v>
      </c>
      <c r="H161" s="35"/>
      <c r="I161" s="35"/>
      <c r="J161" s="35"/>
      <c r="K161" s="35"/>
    </row>
    <row r="162" spans="1:11" s="32" customFormat="1" x14ac:dyDescent="0.2">
      <c r="A162" s="25"/>
      <c r="B162" s="24" t="s">
        <v>188</v>
      </c>
      <c r="C162" s="109">
        <f>ОПЕРУ!C162+'00075+'!C162+'00086+'!C162+'00868+'!C162+'00224+'!C162+'00207+'!C162+'00854'!C162+'00317'!C162+'01045'!C162+'00490'!C162+'00424'!C162+'00853'!C162+'00494'!C162+'00855'!C162+'01152'!C162</f>
        <v>1</v>
      </c>
      <c r="D162" s="109">
        <f>ОПЕРУ!D162+'00075+'!D162+'00086+'!D162+'00868+'!D162+'00224+'!D162+'00207+'!D162+'00854'!D162+'00317'!D162+'01045'!D162+'00490'!D162+'00424'!D162+'00853'!D162+'00494'!D162+'00855'!D162+'01152'!D162</f>
        <v>300000</v>
      </c>
      <c r="E162" s="109">
        <f>ОПЕРУ!E162+'00075+'!E162+'00086+'!E162+'00868+'!E162+'00224+'!E162+'00207+'!E162+'00854'!E162+'00317'!E162+'01045'!E162+'00490'!E162+'00424'!E162+'00853'!E162+'00494'!E162+'00855'!E162+'01152'!E162</f>
        <v>0</v>
      </c>
      <c r="F162" s="154">
        <f>ОПЕРУ!F162+'00075+'!F162+'00086+'!F162+'00868+'!F162+'00224+'!F162+'00207+'!F162+'00854'!F162+'00317'!F162+'01045'!F162+'00490'!F162+'00424'!F162+'00853'!F162+'00494'!F162+'00855'!F162+'01152'!F162</f>
        <v>0</v>
      </c>
      <c r="H162" s="35"/>
      <c r="I162" s="35"/>
      <c r="J162" s="35"/>
      <c r="K162" s="35"/>
    </row>
    <row r="163" spans="1:11" s="32" customFormat="1" x14ac:dyDescent="0.2">
      <c r="A163" s="25"/>
      <c r="B163" s="24" t="s">
        <v>189</v>
      </c>
      <c r="C163" s="109">
        <f>ОПЕРУ!C163+'00075+'!C163+'00086+'!C163+'00868+'!C163+'00224+'!C163+'00207+'!C163+'00854'!C163+'00317'!C163+'01045'!C163+'00490'!C163+'00424'!C163+'00853'!C163+'00494'!C163+'00855'!C163+'01152'!C163</f>
        <v>1</v>
      </c>
      <c r="D163" s="109">
        <f>ОПЕРУ!D163+'00075+'!D163+'00086+'!D163+'00868+'!D163+'00224+'!D163+'00207+'!D163+'00854'!D163+'00317'!D163+'01045'!D163+'00490'!D163+'00424'!D163+'00853'!D163+'00494'!D163+'00855'!D163+'01152'!D163</f>
        <v>25000</v>
      </c>
      <c r="E163" s="109"/>
      <c r="F163" s="154"/>
      <c r="H163" s="35"/>
      <c r="I163" s="35"/>
      <c r="J163" s="35"/>
      <c r="K163" s="35"/>
    </row>
    <row r="164" spans="1:11" s="32" customFormat="1" x14ac:dyDescent="0.2">
      <c r="A164" s="25"/>
      <c r="B164" s="40" t="s">
        <v>190</v>
      </c>
      <c r="C164" s="109">
        <f>ОПЕРУ!C164+'00075+'!C164+'00086+'!C164+'00868+'!C164+'00224+'!C164+'00207+'!C164+'00854'!C164+'00317'!C164+'01045'!C164+'00490'!C164+'00424'!C164+'00853'!C164+'00494'!C164+'00855'!C164+'01152'!C164</f>
        <v>1</v>
      </c>
      <c r="D164" s="109">
        <f>ОПЕРУ!D164+'00075+'!D164+'00086+'!D164+'00868+'!D164+'00224+'!D164+'00207+'!D164+'00854'!D164+'00317'!D164+'01045'!D164+'00490'!D164+'00424'!D164+'00853'!D164+'00494'!D164+'00855'!D164+'01152'!D164</f>
        <v>200000</v>
      </c>
      <c r="E164" s="109">
        <f>ОПЕРУ!E164+'00075+'!E164+'00086+'!E164+'00868+'!E164+'00224+'!E164+'00207+'!E164+'00854'!E164+'00317'!E164+'01045'!E164+'00490'!E164+'00424'!E164+'00853'!E164+'00494'!E164+'00855'!E164+'01152'!E164</f>
        <v>0</v>
      </c>
      <c r="F164" s="154">
        <f>ОПЕРУ!F164+'00075+'!F164+'00086+'!F164+'00868+'!F164+'00224+'!F164+'00207+'!F164+'00854'!F164+'00317'!F164+'01045'!F164+'00490'!F164+'00424'!F164+'00853'!F164+'00494'!F164+'00855'!F164+'01152'!F164</f>
        <v>0</v>
      </c>
      <c r="H164" s="35"/>
      <c r="I164" s="35"/>
      <c r="J164" s="35"/>
      <c r="K164" s="35"/>
    </row>
    <row r="165" spans="1:11" s="32" customFormat="1" ht="13.5" thickBot="1" x14ac:dyDescent="0.25">
      <c r="A165" s="25"/>
      <c r="B165" s="24" t="s">
        <v>191</v>
      </c>
      <c r="C165" s="109">
        <f>ОПЕРУ!C165+'00075+'!C165+'00086+'!C165+'00868+'!C165+'00224+'!C165+'00207+'!C165+'00854'!C165+'00317'!C165+'01045'!C165+'00490'!C165+'00424'!C165+'00853'!C165+'00494'!C165+'00855'!C165+'01152'!C165</f>
        <v>47</v>
      </c>
      <c r="D165" s="109">
        <f>ОПЕРУ!D165+'00075+'!D165+'00086+'!D165+'00868+'!D165+'00224+'!D165+'00207+'!D165+'00854'!D165+'00317'!D165+'01045'!D165+'00490'!D165+'00424'!D165+'00853'!D165+'00494'!D165+'00855'!D165+'01152'!D165</f>
        <v>551000</v>
      </c>
      <c r="E165" s="109">
        <f>ОПЕРУ!E165+'00075+'!E165+'00086+'!E165+'00868+'!E165+'00224+'!E165+'00207+'!E165+'00854'!E165+'00317'!E165+'01045'!E165+'00490'!E165+'00424'!E165+'00853'!E165+'00494'!E165+'00855'!E165+'01152'!E165</f>
        <v>0</v>
      </c>
      <c r="F165" s="154">
        <f>ОПЕРУ!F165+'00075+'!F165+'00086+'!F165+'00868+'!F165+'00224+'!F165+'00207+'!F165+'00854'!F165+'00317'!F165+'01045'!F165+'00490'!F165+'00424'!F165+'00853'!F165+'00494'!F165+'00855'!F165+'01152'!F165</f>
        <v>0</v>
      </c>
      <c r="H165" s="35"/>
      <c r="I165" s="35"/>
      <c r="J165" s="35"/>
      <c r="K165" s="35"/>
    </row>
    <row r="166" spans="1:11" ht="13.5" thickBot="1" x14ac:dyDescent="0.25">
      <c r="A166" s="128"/>
      <c r="B166" s="125" t="s">
        <v>161</v>
      </c>
      <c r="C166" s="126">
        <f>SUM(C135:C165)</f>
        <v>6508</v>
      </c>
      <c r="D166" s="127">
        <f>SUM(D135:D165)</f>
        <v>44661932</v>
      </c>
      <c r="E166" s="127">
        <f>SUM(E135:E165)</f>
        <v>0</v>
      </c>
      <c r="F166" s="127">
        <f>SUM(F135:F165)</f>
        <v>0</v>
      </c>
      <c r="G166" s="45"/>
      <c r="H166" s="35"/>
      <c r="I166" s="46"/>
      <c r="J166" s="35"/>
      <c r="K166" s="35"/>
    </row>
    <row r="167" spans="1:11" s="32" customFormat="1" ht="13.5" thickBot="1" x14ac:dyDescent="0.25">
      <c r="A167" s="25"/>
      <c r="B167" s="24"/>
      <c r="C167" s="109"/>
      <c r="D167" s="154"/>
      <c r="E167" s="154"/>
      <c r="F167" s="154"/>
      <c r="H167" s="35"/>
      <c r="I167" s="35"/>
      <c r="J167" s="35"/>
      <c r="K167" s="35"/>
    </row>
    <row r="168" spans="1:11" ht="16.5" thickBot="1" x14ac:dyDescent="0.3">
      <c r="A168" s="148"/>
      <c r="B168" s="149" t="s">
        <v>162</v>
      </c>
      <c r="C168" s="150">
        <f>C12+C48+C60+C73+C77+C92+C133+C166</f>
        <v>932682</v>
      </c>
      <c r="D168" s="150">
        <f>D12+D48+D60+D73+D77+D92+D133+D166</f>
        <v>418758832</v>
      </c>
      <c r="E168" s="150">
        <f>E12+E48+E60+E73+E77+E92+E133+E166</f>
        <v>0</v>
      </c>
      <c r="F168" s="150">
        <f>F12+F48+F60+F73+F77+F92+F133+F166</f>
        <v>0</v>
      </c>
      <c r="G168" s="45"/>
      <c r="H168" s="35"/>
      <c r="I168" s="46"/>
      <c r="J168" s="35"/>
      <c r="K168" s="35"/>
    </row>
    <row r="170" spans="1:11" x14ac:dyDescent="0.2">
      <c r="G170" s="19"/>
    </row>
    <row r="171" spans="1:11" ht="18" x14ac:dyDescent="0.25">
      <c r="D171" s="29"/>
    </row>
    <row r="172" spans="1:11" s="23" customFormat="1" x14ac:dyDescent="0.2">
      <c r="A172" s="22"/>
      <c r="B172" s="17"/>
      <c r="C172" s="11"/>
      <c r="D172" s="30"/>
      <c r="E172" s="11"/>
      <c r="F172" s="30"/>
      <c r="H172" s="33"/>
      <c r="I172" s="33"/>
      <c r="J172" s="31"/>
      <c r="K172" s="33"/>
    </row>
    <row r="174" spans="1:11" ht="15" x14ac:dyDescent="0.2">
      <c r="D174" s="28"/>
      <c r="J174" s="36"/>
      <c r="K174" s="36"/>
    </row>
    <row r="176" spans="1:11" s="5" customFormat="1" x14ac:dyDescent="0.2">
      <c r="A176" s="11"/>
      <c r="B176" s="9"/>
      <c r="C176" s="11"/>
      <c r="D176" s="16"/>
      <c r="E176" s="11"/>
      <c r="F176" s="16"/>
      <c r="H176" s="38"/>
      <c r="I176" s="38"/>
      <c r="J176" s="37"/>
      <c r="K176" s="39"/>
    </row>
    <row r="177" spans="1:11" s="5" customFormat="1" x14ac:dyDescent="0.2">
      <c r="A177" s="11"/>
      <c r="B177" s="9"/>
      <c r="C177" s="11"/>
      <c r="D177" s="16"/>
      <c r="E177" s="11"/>
      <c r="F177" s="16"/>
      <c r="H177" s="38"/>
      <c r="I177" s="38"/>
      <c r="J177" s="37"/>
      <c r="K177" s="39"/>
    </row>
    <row r="178" spans="1:11" s="5" customFormat="1" x14ac:dyDescent="0.2">
      <c r="A178" s="11"/>
      <c r="B178" s="9"/>
      <c r="C178" s="11"/>
      <c r="D178" s="16"/>
      <c r="E178" s="11"/>
      <c r="F178" s="16"/>
      <c r="H178" s="38"/>
      <c r="I178" s="38"/>
      <c r="J178" s="37"/>
      <c r="K178" s="39"/>
    </row>
    <row r="179" spans="1:11" s="5" customFormat="1" x14ac:dyDescent="0.2">
      <c r="A179" s="11"/>
      <c r="B179" s="9"/>
      <c r="C179" s="11"/>
      <c r="D179" s="16"/>
      <c r="E179" s="11"/>
      <c r="F179" s="16"/>
      <c r="H179" s="38"/>
      <c r="I179" s="38"/>
      <c r="J179" s="37"/>
      <c r="K179" s="39"/>
    </row>
    <row r="180" spans="1:11" s="5" customFormat="1" x14ac:dyDescent="0.2">
      <c r="A180" s="11"/>
      <c r="B180" s="9"/>
      <c r="C180" s="11"/>
      <c r="D180" s="16"/>
      <c r="E180" s="11"/>
      <c r="F180" s="16"/>
      <c r="H180" s="38"/>
      <c r="I180" s="38"/>
      <c r="J180" s="37"/>
      <c r="K180" s="39"/>
    </row>
    <row r="181" spans="1:11" s="5" customFormat="1" x14ac:dyDescent="0.2">
      <c r="A181" s="11"/>
      <c r="B181" s="9"/>
      <c r="C181" s="11"/>
      <c r="D181" s="16"/>
      <c r="E181" s="11"/>
      <c r="F181" s="16"/>
      <c r="H181" s="38"/>
      <c r="I181" s="38"/>
      <c r="J181" s="37"/>
      <c r="K181" s="39"/>
    </row>
    <row r="182" spans="1:11" s="5" customFormat="1" x14ac:dyDescent="0.2">
      <c r="A182" s="11"/>
      <c r="B182" s="9"/>
      <c r="C182" s="11"/>
      <c r="D182" s="16"/>
      <c r="E182" s="11"/>
      <c r="F182" s="16"/>
      <c r="H182" s="38"/>
      <c r="I182" s="38"/>
      <c r="J182" s="37"/>
      <c r="K182" s="39"/>
    </row>
    <row r="183" spans="1:11" s="5" customFormat="1" x14ac:dyDescent="0.2">
      <c r="A183" s="11"/>
      <c r="B183" s="9"/>
      <c r="C183" s="11"/>
      <c r="D183" s="16"/>
      <c r="E183" s="11"/>
      <c r="F183" s="16"/>
      <c r="H183" s="38"/>
      <c r="I183" s="38"/>
      <c r="J183" s="37"/>
      <c r="K183" s="39"/>
    </row>
    <row r="184" spans="1:11" s="5" customFormat="1" x14ac:dyDescent="0.2">
      <c r="A184" s="11"/>
      <c r="B184" s="9"/>
      <c r="C184" s="11"/>
      <c r="D184" s="16"/>
      <c r="E184" s="11"/>
      <c r="F184" s="16"/>
      <c r="H184" s="38"/>
      <c r="I184" s="38"/>
      <c r="J184" s="37"/>
      <c r="K184" s="39"/>
    </row>
    <row r="185" spans="1:11" s="5" customFormat="1" x14ac:dyDescent="0.2">
      <c r="A185" s="11"/>
      <c r="B185" s="9"/>
      <c r="C185" s="11"/>
      <c r="D185" s="16"/>
      <c r="E185" s="11"/>
      <c r="F185" s="16"/>
      <c r="H185" s="38"/>
      <c r="I185" s="38"/>
      <c r="J185" s="37"/>
      <c r="K185" s="39"/>
    </row>
    <row r="186" spans="1:11" s="5" customFormat="1" x14ac:dyDescent="0.2">
      <c r="A186" s="11"/>
      <c r="B186" s="9"/>
      <c r="C186" s="11"/>
      <c r="D186" s="16"/>
      <c r="E186" s="11"/>
      <c r="F186" s="16"/>
      <c r="H186" s="38"/>
      <c r="I186" s="38"/>
      <c r="J186" s="37"/>
      <c r="K186" s="39"/>
    </row>
    <row r="187" spans="1:11" s="5" customFormat="1" x14ac:dyDescent="0.2">
      <c r="A187" s="11"/>
      <c r="B187" s="9"/>
      <c r="C187" s="11"/>
      <c r="D187" s="16"/>
      <c r="E187" s="11"/>
      <c r="F187" s="16"/>
      <c r="H187" s="38"/>
      <c r="I187" s="38"/>
      <c r="J187" s="37"/>
      <c r="K187" s="39"/>
    </row>
    <row r="188" spans="1:11" s="5" customFormat="1" x14ac:dyDescent="0.2">
      <c r="A188" s="11"/>
      <c r="B188" s="9"/>
      <c r="C188" s="11"/>
      <c r="D188" s="16"/>
      <c r="E188" s="11"/>
      <c r="F188" s="16"/>
      <c r="H188" s="38"/>
      <c r="I188" s="38"/>
      <c r="J188" s="37"/>
      <c r="K188" s="39"/>
    </row>
  </sheetData>
  <autoFilter ref="A5:K166" xr:uid="{30826B1D-BEE7-4294-AC24-11F8749BEF59}"/>
  <mergeCells count="5">
    <mergeCell ref="C3:D3"/>
    <mergeCell ref="E3:F3"/>
    <mergeCell ref="E4:F4"/>
    <mergeCell ref="G3:G5"/>
    <mergeCell ref="C4:D4"/>
  </mergeCells>
  <phoneticPr fontId="8" type="noConversion"/>
  <pageMargins left="0.31496062992125984" right="0.39370078740157483" top="0.6692913385826772" bottom="0.6692913385826772" header="0.35433070866141736" footer="0.5118110236220472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J183"/>
  <sheetViews>
    <sheetView zoomScale="110" zoomScaleNormal="110" workbookViewId="0">
      <pane xSplit="2" ySplit="5" topLeftCell="C127" activePane="bottomRight" state="frozen"/>
      <selection activeCell="B112" sqref="B112"/>
      <selection pane="topRight" activeCell="B112" sqref="B112"/>
      <selection pane="bottomLeft" activeCell="B112" sqref="B112"/>
      <selection pane="bottomRight" activeCell="C145" sqref="C145"/>
    </sheetView>
  </sheetViews>
  <sheetFormatPr defaultColWidth="9.140625" defaultRowHeight="12.75" x14ac:dyDescent="0.2"/>
  <cols>
    <col min="1" max="1" width="9.5703125" style="11" customWidth="1"/>
    <col min="2" max="2" width="62.28515625" style="9" customWidth="1"/>
    <col min="3" max="3" width="13.140625" style="12" customWidth="1"/>
    <col min="4" max="4" width="14.28515625" style="55" customWidth="1"/>
    <col min="5" max="5" width="12.140625" style="5" customWidth="1"/>
    <col min="6" max="6" width="14.7109375" style="5" customWidth="1"/>
    <col min="7" max="7" width="9.140625" style="5"/>
    <col min="8" max="8" width="14.5703125" style="5" customWidth="1"/>
    <col min="9" max="9" width="16.42578125" style="5" customWidth="1"/>
    <col min="10" max="10" width="17.7109375" style="5" customWidth="1"/>
    <col min="11" max="16384" width="9.140625" style="5"/>
  </cols>
  <sheetData>
    <row r="1" spans="1:8" ht="14.45" customHeight="1" x14ac:dyDescent="0.2">
      <c r="A1" s="1"/>
      <c r="B1" s="14" t="s">
        <v>55</v>
      </c>
      <c r="C1" s="4"/>
      <c r="D1" s="56"/>
    </row>
    <row r="2" spans="1:8" ht="14.45" customHeight="1" thickBot="1" x14ac:dyDescent="0.25">
      <c r="A2" s="1"/>
      <c r="B2" s="2"/>
      <c r="C2" s="4"/>
      <c r="D2" s="56"/>
      <c r="F2" s="17" t="s">
        <v>236</v>
      </c>
    </row>
    <row r="3" spans="1:8" s="6" customFormat="1" ht="19.5" customHeight="1" thickBot="1" x14ac:dyDescent="0.3">
      <c r="A3" s="70"/>
      <c r="B3" s="71"/>
      <c r="C3" s="77" t="s">
        <v>56</v>
      </c>
      <c r="D3" s="78"/>
      <c r="E3" s="79" t="s">
        <v>56</v>
      </c>
      <c r="F3" s="80"/>
      <c r="G3" s="50" t="s">
        <v>60</v>
      </c>
    </row>
    <row r="4" spans="1:8" s="6" customFormat="1" ht="30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50"/>
    </row>
    <row r="5" spans="1:8" s="7" customFormat="1" ht="35.25" customHeight="1" thickBot="1" x14ac:dyDescent="0.25">
      <c r="A5" s="72" t="s">
        <v>62</v>
      </c>
      <c r="B5" s="73" t="s">
        <v>63</v>
      </c>
      <c r="C5" s="82" t="s">
        <v>57</v>
      </c>
      <c r="D5" s="75" t="s">
        <v>58</v>
      </c>
      <c r="E5" s="82" t="s">
        <v>57</v>
      </c>
      <c r="F5" s="75" t="s">
        <v>58</v>
      </c>
      <c r="G5" s="51"/>
    </row>
    <row r="6" spans="1:8" s="9" customFormat="1" x14ac:dyDescent="0.2">
      <c r="A6" s="175" t="s">
        <v>2</v>
      </c>
      <c r="B6" s="176" t="s">
        <v>3</v>
      </c>
      <c r="C6" s="177"/>
      <c r="D6" s="178"/>
      <c r="E6" s="177"/>
      <c r="F6" s="179"/>
    </row>
    <row r="7" spans="1:8" s="9" customFormat="1" x14ac:dyDescent="0.2">
      <c r="A7" s="86"/>
      <c r="B7" s="89" t="s">
        <v>18</v>
      </c>
      <c r="C7" s="90">
        <v>2</v>
      </c>
      <c r="D7" s="119">
        <f>C7*300000</f>
        <v>600000</v>
      </c>
      <c r="E7" s="163"/>
      <c r="F7" s="223"/>
    </row>
    <row r="8" spans="1:8" ht="15" x14ac:dyDescent="0.25">
      <c r="A8" s="86"/>
      <c r="B8" s="89" t="s">
        <v>4</v>
      </c>
      <c r="C8" s="93">
        <v>1</v>
      </c>
      <c r="D8" s="119">
        <f>C8*90000</f>
        <v>90000</v>
      </c>
      <c r="E8" s="163"/>
      <c r="F8" s="224"/>
    </row>
    <row r="9" spans="1:8" ht="15" x14ac:dyDescent="0.25">
      <c r="A9" s="86"/>
      <c r="B9" s="89" t="s">
        <v>17</v>
      </c>
      <c r="C9" s="93"/>
      <c r="D9" s="119"/>
      <c r="E9" s="92"/>
      <c r="F9" s="224"/>
    </row>
    <row r="10" spans="1:8" ht="15" x14ac:dyDescent="0.25">
      <c r="A10" s="86"/>
      <c r="B10" s="89" t="s">
        <v>15</v>
      </c>
      <c r="C10" s="93"/>
      <c r="D10" s="119"/>
      <c r="E10" s="163"/>
      <c r="F10" s="224"/>
    </row>
    <row r="11" spans="1:8" ht="15.75" thickBot="1" x14ac:dyDescent="0.3">
      <c r="A11" s="225"/>
      <c r="B11" s="159" t="s">
        <v>16</v>
      </c>
      <c r="C11" s="226">
        <v>17</v>
      </c>
      <c r="D11" s="184">
        <f>C11*200000</f>
        <v>3400000</v>
      </c>
      <c r="E11" s="227"/>
      <c r="F11" s="228"/>
    </row>
    <row r="12" spans="1:8" s="9" customFormat="1" ht="13.5" thickBot="1" x14ac:dyDescent="0.25">
      <c r="A12" s="171"/>
      <c r="B12" s="172" t="s">
        <v>155</v>
      </c>
      <c r="C12" s="173">
        <f>SUM(C6:C11)</f>
        <v>20</v>
      </c>
      <c r="D12" s="173">
        <f>SUM(D6:D11)</f>
        <v>4090000</v>
      </c>
      <c r="E12" s="173">
        <f>SUM(E6:E9)</f>
        <v>0</v>
      </c>
      <c r="F12" s="174">
        <f>SUM(F6:F9)</f>
        <v>0</v>
      </c>
      <c r="H12" s="94"/>
    </row>
    <row r="13" spans="1:8" s="52" customFormat="1" x14ac:dyDescent="0.2">
      <c r="A13" s="175" t="s">
        <v>5</v>
      </c>
      <c r="B13" s="176" t="s">
        <v>89</v>
      </c>
      <c r="C13" s="177"/>
      <c r="D13" s="178"/>
      <c r="E13" s="177"/>
      <c r="F13" s="179"/>
    </row>
    <row r="14" spans="1:8" s="52" customFormat="1" ht="15" x14ac:dyDescent="0.25">
      <c r="A14" s="25"/>
      <c r="B14" s="209" t="s">
        <v>19</v>
      </c>
      <c r="C14" s="47">
        <f>300</f>
        <v>300</v>
      </c>
      <c r="D14" s="119">
        <f>3000*C14</f>
        <v>900000</v>
      </c>
      <c r="E14" s="58"/>
      <c r="F14" s="180"/>
    </row>
    <row r="15" spans="1:8" s="52" customFormat="1" ht="15" x14ac:dyDescent="0.25">
      <c r="A15" s="25"/>
      <c r="B15" s="209" t="s">
        <v>20</v>
      </c>
      <c r="C15" s="47">
        <f>30</f>
        <v>30</v>
      </c>
      <c r="D15" s="119">
        <f>11000*C15</f>
        <v>330000</v>
      </c>
      <c r="E15" s="58"/>
      <c r="F15" s="180"/>
    </row>
    <row r="16" spans="1:8" s="52" customFormat="1" x14ac:dyDescent="0.2">
      <c r="A16" s="25"/>
      <c r="B16" s="318" t="s">
        <v>21</v>
      </c>
      <c r="C16" s="54">
        <v>10</v>
      </c>
      <c r="D16" s="119">
        <f>4500*C16</f>
        <v>45000</v>
      </c>
      <c r="E16" s="58"/>
      <c r="F16" s="180"/>
    </row>
    <row r="17" spans="1:9" s="52" customFormat="1" x14ac:dyDescent="0.2">
      <c r="A17" s="25"/>
      <c r="B17" s="318" t="s">
        <v>23</v>
      </c>
      <c r="C17" s="54">
        <v>10</v>
      </c>
      <c r="D17" s="119">
        <f>C17*4500</f>
        <v>45000</v>
      </c>
      <c r="E17" s="58"/>
      <c r="F17" s="180"/>
    </row>
    <row r="18" spans="1:9" s="38" customFormat="1" ht="15" x14ac:dyDescent="0.25">
      <c r="A18" s="25"/>
      <c r="B18" s="318" t="s">
        <v>24</v>
      </c>
      <c r="C18" s="47"/>
      <c r="D18" s="119"/>
      <c r="E18" s="58"/>
      <c r="F18" s="180"/>
    </row>
    <row r="19" spans="1:9" s="38" customFormat="1" ht="15" x14ac:dyDescent="0.25">
      <c r="A19" s="25"/>
      <c r="B19" s="48" t="s">
        <v>25</v>
      </c>
      <c r="C19" s="47">
        <v>20</v>
      </c>
      <c r="D19" s="119">
        <f>C19*700</f>
        <v>14000</v>
      </c>
      <c r="E19" s="58"/>
      <c r="F19" s="180"/>
    </row>
    <row r="20" spans="1:9" s="38" customFormat="1" ht="15" x14ac:dyDescent="0.25">
      <c r="A20" s="25"/>
      <c r="B20" s="209" t="s">
        <v>26</v>
      </c>
      <c r="C20" s="47">
        <v>70</v>
      </c>
      <c r="D20" s="119">
        <f>C20*3000</f>
        <v>210000</v>
      </c>
      <c r="E20" s="58"/>
      <c r="F20" s="180"/>
    </row>
    <row r="21" spans="1:9" s="38" customFormat="1" x14ac:dyDescent="0.2">
      <c r="A21" s="25"/>
      <c r="B21" s="209" t="s">
        <v>27</v>
      </c>
      <c r="C21" s="54">
        <v>50</v>
      </c>
      <c r="D21" s="119">
        <f>1500*C21</f>
        <v>75000</v>
      </c>
      <c r="E21" s="58"/>
      <c r="F21" s="180"/>
    </row>
    <row r="22" spans="1:9" s="38" customFormat="1" x14ac:dyDescent="0.2">
      <c r="A22" s="25"/>
      <c r="B22" s="48" t="s">
        <v>28</v>
      </c>
      <c r="C22" s="54">
        <f>6</f>
        <v>6</v>
      </c>
      <c r="D22" s="119">
        <f>4000*C22</f>
        <v>24000</v>
      </c>
      <c r="E22" s="58"/>
      <c r="F22" s="180"/>
      <c r="G22" s="55"/>
    </row>
    <row r="23" spans="1:9" s="38" customFormat="1" x14ac:dyDescent="0.2">
      <c r="A23" s="25"/>
      <c r="B23" s="48" t="s">
        <v>29</v>
      </c>
      <c r="C23" s="54"/>
      <c r="D23" s="119"/>
      <c r="E23" s="58"/>
      <c r="F23" s="180"/>
    </row>
    <row r="24" spans="1:9" s="38" customFormat="1" ht="15" x14ac:dyDescent="0.25">
      <c r="A24" s="25"/>
      <c r="B24" s="48" t="s">
        <v>30</v>
      </c>
      <c r="C24" s="47">
        <v>5</v>
      </c>
      <c r="D24" s="119">
        <f>3000*C24</f>
        <v>15000</v>
      </c>
      <c r="E24" s="58"/>
      <c r="F24" s="180"/>
    </row>
    <row r="25" spans="1:9" s="38" customFormat="1" x14ac:dyDescent="0.2">
      <c r="A25" s="25"/>
      <c r="B25" s="48" t="s">
        <v>31</v>
      </c>
      <c r="C25" s="54">
        <v>5</v>
      </c>
      <c r="D25" s="119">
        <f>4000*C25</f>
        <v>20000</v>
      </c>
      <c r="E25" s="58"/>
      <c r="F25" s="180"/>
    </row>
    <row r="26" spans="1:9" s="38" customFormat="1" x14ac:dyDescent="0.2">
      <c r="A26" s="25"/>
      <c r="B26" s="209" t="s">
        <v>32</v>
      </c>
      <c r="C26" s="54">
        <v>15</v>
      </c>
      <c r="D26" s="119">
        <f>C26*2500</f>
        <v>37500</v>
      </c>
      <c r="E26" s="58"/>
      <c r="F26" s="180"/>
      <c r="H26" s="55"/>
      <c r="I26" s="124"/>
    </row>
    <row r="27" spans="1:9" s="38" customFormat="1" ht="15" x14ac:dyDescent="0.25">
      <c r="A27" s="25"/>
      <c r="B27" s="209" t="s">
        <v>33</v>
      </c>
      <c r="C27" s="47">
        <v>200</v>
      </c>
      <c r="D27" s="119">
        <f>C27*2500</f>
        <v>500000</v>
      </c>
      <c r="E27" s="58"/>
      <c r="F27" s="180"/>
    </row>
    <row r="28" spans="1:9" s="38" customFormat="1" x14ac:dyDescent="0.2">
      <c r="A28" s="25"/>
      <c r="B28" s="209" t="s">
        <v>35</v>
      </c>
      <c r="C28" s="54">
        <v>15</v>
      </c>
      <c r="D28" s="119">
        <f>C28*2000</f>
        <v>30000</v>
      </c>
      <c r="E28" s="58"/>
      <c r="F28" s="180"/>
      <c r="I28" s="124"/>
    </row>
    <row r="29" spans="1:9" s="38" customFormat="1" ht="15" x14ac:dyDescent="0.25">
      <c r="A29" s="25"/>
      <c r="B29" s="209" t="s">
        <v>36</v>
      </c>
      <c r="C29" s="47">
        <v>30</v>
      </c>
      <c r="D29" s="119">
        <f>C29*5000</f>
        <v>150000</v>
      </c>
      <c r="E29" s="58"/>
      <c r="F29" s="180"/>
    </row>
    <row r="30" spans="1:9" s="38" customFormat="1" ht="15" x14ac:dyDescent="0.25">
      <c r="A30" s="25"/>
      <c r="B30" s="209" t="s">
        <v>37</v>
      </c>
      <c r="C30" s="47">
        <v>15</v>
      </c>
      <c r="D30" s="119">
        <f>C30*3000</f>
        <v>45000</v>
      </c>
      <c r="E30" s="58"/>
      <c r="F30" s="180"/>
    </row>
    <row r="31" spans="1:9" s="38" customFormat="1" ht="15" x14ac:dyDescent="0.25">
      <c r="A31" s="25"/>
      <c r="B31" s="48" t="s">
        <v>38</v>
      </c>
      <c r="C31" s="47">
        <v>15</v>
      </c>
      <c r="D31" s="119">
        <f>C31*2500</f>
        <v>37500</v>
      </c>
      <c r="E31" s="58"/>
      <c r="F31" s="180"/>
    </row>
    <row r="32" spans="1:9" s="38" customFormat="1" x14ac:dyDescent="0.2">
      <c r="A32" s="25"/>
      <c r="B32" s="209" t="s">
        <v>39</v>
      </c>
      <c r="C32" s="54">
        <v>20</v>
      </c>
      <c r="D32" s="119">
        <f>C32*2000</f>
        <v>40000</v>
      </c>
      <c r="E32" s="58"/>
      <c r="F32" s="180"/>
    </row>
    <row r="33" spans="1:8" s="38" customFormat="1" x14ac:dyDescent="0.2">
      <c r="A33" s="25"/>
      <c r="B33" s="209" t="s">
        <v>40</v>
      </c>
      <c r="C33" s="54">
        <f>10</f>
        <v>10</v>
      </c>
      <c r="D33" s="119">
        <f>C33*3000</f>
        <v>30000</v>
      </c>
      <c r="E33" s="58"/>
      <c r="F33" s="180"/>
    </row>
    <row r="34" spans="1:8" s="38" customFormat="1" x14ac:dyDescent="0.2">
      <c r="A34" s="25"/>
      <c r="B34" s="209" t="s">
        <v>41</v>
      </c>
      <c r="C34" s="54">
        <v>20</v>
      </c>
      <c r="D34" s="119">
        <f>C34*2500</f>
        <v>50000</v>
      </c>
      <c r="E34" s="58"/>
      <c r="F34" s="180"/>
    </row>
    <row r="35" spans="1:8" s="38" customFormat="1" x14ac:dyDescent="0.2">
      <c r="A35" s="25"/>
      <c r="B35" s="209" t="s">
        <v>42</v>
      </c>
      <c r="C35" s="54"/>
      <c r="D35" s="119">
        <f>C35*2000</f>
        <v>0</v>
      </c>
      <c r="E35" s="58"/>
      <c r="F35" s="180"/>
    </row>
    <row r="36" spans="1:8" s="38" customFormat="1" x14ac:dyDescent="0.2">
      <c r="A36" s="25"/>
      <c r="B36" s="48" t="s">
        <v>43</v>
      </c>
      <c r="C36" s="54">
        <v>50</v>
      </c>
      <c r="D36" s="119">
        <f>C36*1200</f>
        <v>60000</v>
      </c>
      <c r="E36" s="58"/>
      <c r="F36" s="180"/>
    </row>
    <row r="37" spans="1:8" s="38" customFormat="1" ht="15" x14ac:dyDescent="0.25">
      <c r="A37" s="25"/>
      <c r="B37" s="48" t="s">
        <v>44</v>
      </c>
      <c r="C37" s="47">
        <f>10+2+2</f>
        <v>14</v>
      </c>
      <c r="D37" s="119">
        <f>C37*2000</f>
        <v>28000</v>
      </c>
      <c r="E37" s="58"/>
      <c r="F37" s="180"/>
    </row>
    <row r="38" spans="1:8" s="38" customFormat="1" ht="15" x14ac:dyDescent="0.25">
      <c r="A38" s="25"/>
      <c r="B38" s="48" t="s">
        <v>45</v>
      </c>
      <c r="C38" s="47">
        <f>5</f>
        <v>5</v>
      </c>
      <c r="D38" s="119">
        <f>C38*7500</f>
        <v>37500</v>
      </c>
      <c r="E38" s="113"/>
      <c r="F38" s="180"/>
    </row>
    <row r="39" spans="1:8" s="38" customFormat="1" ht="15" x14ac:dyDescent="0.25">
      <c r="A39" s="25"/>
      <c r="B39" s="48" t="s">
        <v>46</v>
      </c>
      <c r="C39" s="47"/>
      <c r="D39" s="119">
        <f>C39*9000</f>
        <v>0</v>
      </c>
      <c r="E39" s="113"/>
      <c r="F39" s="180"/>
    </row>
    <row r="40" spans="1:8" s="38" customFormat="1" x14ac:dyDescent="0.2">
      <c r="A40" s="25"/>
      <c r="B40" s="209" t="s">
        <v>47</v>
      </c>
      <c r="C40" s="54">
        <v>30</v>
      </c>
      <c r="D40" s="119">
        <f>1500*C40</f>
        <v>45000</v>
      </c>
      <c r="E40" s="113"/>
      <c r="F40" s="180"/>
    </row>
    <row r="41" spans="1:8" s="38" customFormat="1" x14ac:dyDescent="0.2">
      <c r="A41" s="25"/>
      <c r="B41" s="209" t="s">
        <v>48</v>
      </c>
      <c r="C41" s="54">
        <v>120</v>
      </c>
      <c r="D41" s="119">
        <f>800*C41</f>
        <v>96000</v>
      </c>
      <c r="E41" s="113"/>
      <c r="F41" s="180"/>
    </row>
    <row r="42" spans="1:8" s="38" customFormat="1" x14ac:dyDescent="0.2">
      <c r="A42" s="25"/>
      <c r="B42" s="48" t="s">
        <v>49</v>
      </c>
      <c r="C42" s="54">
        <f>2</f>
        <v>2</v>
      </c>
      <c r="D42" s="119">
        <f>1500*C42</f>
        <v>3000</v>
      </c>
      <c r="E42" s="113"/>
      <c r="F42" s="180"/>
    </row>
    <row r="43" spans="1:8" s="38" customFormat="1" x14ac:dyDescent="0.2">
      <c r="A43" s="25"/>
      <c r="B43" s="48" t="s">
        <v>50</v>
      </c>
      <c r="C43" s="54"/>
      <c r="D43" s="119">
        <f>C43*3000</f>
        <v>0</v>
      </c>
      <c r="E43" s="113"/>
      <c r="F43" s="180"/>
    </row>
    <row r="44" spans="1:8" s="38" customFormat="1" ht="15" x14ac:dyDescent="0.25">
      <c r="A44" s="25"/>
      <c r="B44" s="48" t="s">
        <v>51</v>
      </c>
      <c r="C44" s="47">
        <f>2</f>
        <v>2</v>
      </c>
      <c r="D44" s="119">
        <f>C44*4000</f>
        <v>8000</v>
      </c>
      <c r="E44" s="113"/>
      <c r="F44" s="180"/>
    </row>
    <row r="45" spans="1:8" s="38" customFormat="1" ht="15" x14ac:dyDescent="0.25">
      <c r="A45" s="25"/>
      <c r="B45" s="48" t="s">
        <v>52</v>
      </c>
      <c r="C45" s="47">
        <v>20</v>
      </c>
      <c r="D45" s="119">
        <f>C45*3000</f>
        <v>60000</v>
      </c>
      <c r="E45" s="113"/>
      <c r="F45" s="180"/>
    </row>
    <row r="46" spans="1:8" s="38" customFormat="1" x14ac:dyDescent="0.2">
      <c r="A46" s="25"/>
      <c r="B46" s="209" t="s">
        <v>53</v>
      </c>
      <c r="C46" s="54">
        <v>15</v>
      </c>
      <c r="D46" s="119">
        <f>C46*3000</f>
        <v>45000</v>
      </c>
      <c r="E46" s="113"/>
      <c r="F46" s="180"/>
    </row>
    <row r="47" spans="1:8" s="38" customFormat="1" ht="15.75" thickBot="1" x14ac:dyDescent="0.3">
      <c r="A47" s="187"/>
      <c r="B47" s="188" t="s">
        <v>54</v>
      </c>
      <c r="C47" s="120">
        <f>10</f>
        <v>10</v>
      </c>
      <c r="D47" s="189">
        <f>C47*4500</f>
        <v>45000</v>
      </c>
      <c r="E47" s="190"/>
      <c r="F47" s="191"/>
    </row>
    <row r="48" spans="1:8" ht="13.5" thickBot="1" x14ac:dyDescent="0.25">
      <c r="A48" s="171"/>
      <c r="B48" s="172" t="s">
        <v>154</v>
      </c>
      <c r="C48" s="173">
        <f>SUM(C14:C47)</f>
        <v>1114</v>
      </c>
      <c r="D48" s="173">
        <f>SUM(D13:D47)</f>
        <v>3025500</v>
      </c>
      <c r="E48" s="173"/>
      <c r="F48" s="174"/>
      <c r="H48" s="42"/>
    </row>
    <row r="49" spans="1:9" s="38" customFormat="1" x14ac:dyDescent="0.2">
      <c r="A49" s="175" t="s">
        <v>6</v>
      </c>
      <c r="B49" s="194" t="s">
        <v>61</v>
      </c>
      <c r="C49" s="177"/>
      <c r="D49" s="178"/>
      <c r="E49" s="177"/>
      <c r="F49" s="179"/>
    </row>
    <row r="50" spans="1:9" s="38" customFormat="1" ht="15" x14ac:dyDescent="0.25">
      <c r="A50" s="25"/>
      <c r="B50" s="48" t="s">
        <v>64</v>
      </c>
      <c r="C50" s="47">
        <v>10</v>
      </c>
      <c r="D50" s="119">
        <f>C50*8000</f>
        <v>80000</v>
      </c>
      <c r="E50" s="58"/>
      <c r="F50" s="180"/>
      <c r="I50" s="124"/>
    </row>
    <row r="51" spans="1:9" s="38" customFormat="1" ht="15" x14ac:dyDescent="0.25">
      <c r="A51" s="25"/>
      <c r="B51" s="48" t="s">
        <v>65</v>
      </c>
      <c r="C51" s="47"/>
      <c r="D51" s="119">
        <f>C51*18000</f>
        <v>0</v>
      </c>
      <c r="E51" s="58"/>
      <c r="F51" s="180"/>
      <c r="G51" s="55"/>
    </row>
    <row r="52" spans="1:9" s="38" customFormat="1" ht="15" x14ac:dyDescent="0.25">
      <c r="A52" s="25"/>
      <c r="B52" s="193" t="s">
        <v>66</v>
      </c>
      <c r="C52" s="47">
        <v>20</v>
      </c>
      <c r="D52" s="119">
        <f>C52*6000</f>
        <v>120000</v>
      </c>
      <c r="E52" s="113"/>
      <c r="F52" s="180"/>
    </row>
    <row r="53" spans="1:9" s="38" customFormat="1" ht="15" x14ac:dyDescent="0.25">
      <c r="A53" s="25"/>
      <c r="B53" s="48" t="s">
        <v>67</v>
      </c>
      <c r="C53" s="47">
        <v>8</v>
      </c>
      <c r="D53" s="119">
        <f>C53*6000</f>
        <v>48000</v>
      </c>
      <c r="E53" s="58"/>
      <c r="F53" s="180"/>
    </row>
    <row r="54" spans="1:9" s="38" customFormat="1" ht="15" x14ac:dyDescent="0.25">
      <c r="A54" s="25"/>
      <c r="B54" s="48" t="s">
        <v>68</v>
      </c>
      <c r="C54" s="47">
        <f>10</f>
        <v>10</v>
      </c>
      <c r="D54" s="119">
        <f>C54*8000</f>
        <v>80000</v>
      </c>
      <c r="E54" s="113"/>
      <c r="F54" s="180"/>
    </row>
    <row r="55" spans="1:9" s="38" customFormat="1" ht="15" x14ac:dyDescent="0.25">
      <c r="A55" s="143"/>
      <c r="B55" s="48" t="s">
        <v>69</v>
      </c>
      <c r="C55" s="47">
        <f>4</f>
        <v>4</v>
      </c>
      <c r="D55" s="119">
        <f>C55*5000</f>
        <v>20000</v>
      </c>
      <c r="E55" s="113"/>
      <c r="F55" s="180"/>
    </row>
    <row r="56" spans="1:9" s="38" customFormat="1" x14ac:dyDescent="0.2">
      <c r="A56" s="143"/>
      <c r="B56" s="48" t="s">
        <v>70</v>
      </c>
      <c r="C56" s="54">
        <f>2</f>
        <v>2</v>
      </c>
      <c r="D56" s="119">
        <f>C56*30000</f>
        <v>60000</v>
      </c>
      <c r="E56" s="58"/>
      <c r="F56" s="180"/>
    </row>
    <row r="57" spans="1:9" s="38" customFormat="1" ht="15" x14ac:dyDescent="0.25">
      <c r="A57" s="133"/>
      <c r="B57" s="48" t="s">
        <v>71</v>
      </c>
      <c r="C57" s="47">
        <v>10</v>
      </c>
      <c r="D57" s="119">
        <f>10000*C57</f>
        <v>100000</v>
      </c>
      <c r="E57" s="113"/>
      <c r="F57" s="54"/>
      <c r="I57" s="124"/>
    </row>
    <row r="58" spans="1:9" s="38" customFormat="1" ht="15" x14ac:dyDescent="0.25">
      <c r="A58" s="133"/>
      <c r="B58" s="48" t="s">
        <v>72</v>
      </c>
      <c r="C58" s="47">
        <f>2</f>
        <v>2</v>
      </c>
      <c r="D58" s="119">
        <f>C58*2000</f>
        <v>4000</v>
      </c>
      <c r="E58" s="113"/>
      <c r="F58" s="54"/>
      <c r="I58" s="124"/>
    </row>
    <row r="59" spans="1:9" s="38" customFormat="1" ht="15" x14ac:dyDescent="0.25">
      <c r="A59" s="133"/>
      <c r="B59" s="48" t="s">
        <v>73</v>
      </c>
      <c r="C59" s="47">
        <v>1</v>
      </c>
      <c r="D59" s="119">
        <f>120000+34500</f>
        <v>154500</v>
      </c>
      <c r="E59" s="113"/>
      <c r="F59" s="54"/>
      <c r="I59" s="124"/>
    </row>
    <row r="60" spans="1:9" ht="13.5" thickBot="1" x14ac:dyDescent="0.25">
      <c r="A60" s="232"/>
      <c r="B60" s="255" t="s">
        <v>156</v>
      </c>
      <c r="C60" s="256">
        <f>SUM(C50:C59)</f>
        <v>67</v>
      </c>
      <c r="D60" s="256">
        <f>SUM(D50:D59)</f>
        <v>666500</v>
      </c>
      <c r="E60" s="256">
        <f>SUM(E50:E59)</f>
        <v>0</v>
      </c>
      <c r="F60" s="107">
        <f>SUM(F50:F59)</f>
        <v>0</v>
      </c>
      <c r="H60" s="43"/>
    </row>
    <row r="61" spans="1:9" x14ac:dyDescent="0.2">
      <c r="A61" s="175" t="s">
        <v>7</v>
      </c>
      <c r="B61" s="176" t="s">
        <v>74</v>
      </c>
      <c r="C61" s="177"/>
      <c r="D61" s="178"/>
      <c r="E61" s="177"/>
      <c r="F61" s="179"/>
    </row>
    <row r="62" spans="1:9" s="38" customFormat="1" ht="15" x14ac:dyDescent="0.25">
      <c r="A62" s="25"/>
      <c r="B62" s="135" t="s">
        <v>75</v>
      </c>
      <c r="C62" s="47">
        <v>1</v>
      </c>
      <c r="D62" s="119">
        <f>C62*130000</f>
        <v>130000</v>
      </c>
      <c r="E62" s="113"/>
      <c r="F62" s="180"/>
    </row>
    <row r="63" spans="1:9" s="38" customFormat="1" x14ac:dyDescent="0.2">
      <c r="A63" s="25"/>
      <c r="B63" s="135" t="s">
        <v>76</v>
      </c>
      <c r="C63" s="54"/>
      <c r="D63" s="119"/>
      <c r="E63" s="113"/>
      <c r="F63" s="180"/>
    </row>
    <row r="64" spans="1:9" s="38" customFormat="1" x14ac:dyDescent="0.2">
      <c r="A64" s="25"/>
      <c r="B64" s="135" t="s">
        <v>77</v>
      </c>
      <c r="C64" s="54"/>
      <c r="D64" s="119"/>
      <c r="E64" s="113"/>
      <c r="F64" s="180"/>
    </row>
    <row r="65" spans="1:8" s="38" customFormat="1" x14ac:dyDescent="0.2">
      <c r="A65" s="25"/>
      <c r="B65" s="135" t="s">
        <v>78</v>
      </c>
      <c r="C65" s="54">
        <f>2</f>
        <v>2</v>
      </c>
      <c r="D65" s="119">
        <f>C65*2500</f>
        <v>5000</v>
      </c>
      <c r="E65" s="113"/>
      <c r="F65" s="180"/>
    </row>
    <row r="66" spans="1:8" s="38" customFormat="1" x14ac:dyDescent="0.2">
      <c r="A66" s="25"/>
      <c r="B66" s="135" t="s">
        <v>79</v>
      </c>
      <c r="C66" s="54">
        <f>10</f>
        <v>10</v>
      </c>
      <c r="D66" s="119">
        <f>C66*8000</f>
        <v>80000</v>
      </c>
      <c r="E66" s="58"/>
      <c r="F66" s="180"/>
    </row>
    <row r="67" spans="1:8" s="38" customFormat="1" x14ac:dyDescent="0.2">
      <c r="A67" s="25"/>
      <c r="B67" s="135" t="s">
        <v>80</v>
      </c>
      <c r="C67" s="54"/>
      <c r="D67" s="119"/>
      <c r="E67" s="58"/>
      <c r="F67" s="180"/>
    </row>
    <row r="68" spans="1:8" s="38" customFormat="1" x14ac:dyDescent="0.2">
      <c r="A68" s="25"/>
      <c r="B68" s="135" t="s">
        <v>81</v>
      </c>
      <c r="C68" s="54"/>
      <c r="D68" s="119"/>
      <c r="E68" s="58"/>
      <c r="F68" s="180"/>
    </row>
    <row r="69" spans="1:8" s="38" customFormat="1" x14ac:dyDescent="0.2">
      <c r="A69" s="25"/>
      <c r="B69" s="135" t="s">
        <v>82</v>
      </c>
      <c r="C69" s="54">
        <f>1</f>
        <v>1</v>
      </c>
      <c r="D69" s="119">
        <f>25000*C69</f>
        <v>25000</v>
      </c>
      <c r="E69" s="58"/>
      <c r="F69" s="180"/>
    </row>
    <row r="70" spans="1:8" s="38" customFormat="1" x14ac:dyDescent="0.2">
      <c r="A70" s="25"/>
      <c r="B70" s="135" t="s">
        <v>83</v>
      </c>
      <c r="C70" s="54"/>
      <c r="D70" s="119"/>
      <c r="E70" s="58"/>
      <c r="F70" s="180"/>
    </row>
    <row r="71" spans="1:8" s="38" customFormat="1" x14ac:dyDescent="0.2">
      <c r="A71" s="25"/>
      <c r="B71" s="135" t="s">
        <v>84</v>
      </c>
      <c r="C71" s="54">
        <f>2</f>
        <v>2</v>
      </c>
      <c r="D71" s="119">
        <f>C71*1500</f>
        <v>3000</v>
      </c>
      <c r="E71" s="58"/>
      <c r="F71" s="180"/>
    </row>
    <row r="72" spans="1:8" s="38" customFormat="1" ht="13.5" thickBot="1" x14ac:dyDescent="0.25">
      <c r="A72" s="187"/>
      <c r="B72" s="201" t="s">
        <v>85</v>
      </c>
      <c r="C72" s="202">
        <f>2</f>
        <v>2</v>
      </c>
      <c r="D72" s="189">
        <f>C72*2000</f>
        <v>4000</v>
      </c>
      <c r="E72" s="190"/>
      <c r="F72" s="191"/>
    </row>
    <row r="73" spans="1:8" ht="13.5" thickBot="1" x14ac:dyDescent="0.25">
      <c r="A73" s="171"/>
      <c r="B73" s="172" t="s">
        <v>157</v>
      </c>
      <c r="C73" s="173">
        <f>SUM(C62:C72)</f>
        <v>18</v>
      </c>
      <c r="D73" s="173">
        <f>SUM(D62:D72)</f>
        <v>247000</v>
      </c>
      <c r="E73" s="173">
        <f>SUM(E62:E72)</f>
        <v>0</v>
      </c>
      <c r="F73" s="174">
        <f>SUM(F62:F72)</f>
        <v>0</v>
      </c>
      <c r="H73" s="43"/>
    </row>
    <row r="74" spans="1:8" x14ac:dyDescent="0.2">
      <c r="A74" s="175" t="s">
        <v>8</v>
      </c>
      <c r="B74" s="194" t="s">
        <v>86</v>
      </c>
      <c r="C74" s="177"/>
      <c r="D74" s="178"/>
      <c r="E74" s="177"/>
      <c r="F74" s="179"/>
    </row>
    <row r="75" spans="1:8" s="38" customFormat="1" x14ac:dyDescent="0.2">
      <c r="A75" s="25"/>
      <c r="B75" s="193" t="s">
        <v>87</v>
      </c>
      <c r="C75" s="54"/>
      <c r="D75" s="119"/>
      <c r="E75" s="113"/>
      <c r="F75" s="180"/>
    </row>
    <row r="76" spans="1:8" s="38" customFormat="1" ht="26.25" thickBot="1" x14ac:dyDescent="0.25">
      <c r="A76" s="187"/>
      <c r="B76" s="204" t="s">
        <v>88</v>
      </c>
      <c r="C76" s="202"/>
      <c r="D76" s="189"/>
      <c r="E76" s="198"/>
      <c r="F76" s="191"/>
    </row>
    <row r="77" spans="1:8" ht="13.5" thickBot="1" x14ac:dyDescent="0.25">
      <c r="A77" s="171"/>
      <c r="B77" s="172" t="s">
        <v>158</v>
      </c>
      <c r="C77" s="173">
        <f>SUM(C75:C76)</f>
        <v>0</v>
      </c>
      <c r="D77" s="173">
        <f>SUM(D75:D76)</f>
        <v>0</v>
      </c>
      <c r="E77" s="173">
        <f>SUM(E75:E76)</f>
        <v>0</v>
      </c>
      <c r="F77" s="174">
        <f>SUM(F75:F76)</f>
        <v>0</v>
      </c>
      <c r="H77" s="43"/>
    </row>
    <row r="78" spans="1:8" x14ac:dyDescent="0.2">
      <c r="A78" s="175" t="s">
        <v>9</v>
      </c>
      <c r="B78" s="176" t="s">
        <v>90</v>
      </c>
      <c r="C78" s="177"/>
      <c r="D78" s="178"/>
      <c r="E78" s="177"/>
      <c r="F78" s="179"/>
    </row>
    <row r="79" spans="1:8" s="38" customFormat="1" ht="15" x14ac:dyDescent="0.25">
      <c r="A79" s="25"/>
      <c r="B79" s="205" t="s">
        <v>91</v>
      </c>
      <c r="C79" s="47">
        <v>1</v>
      </c>
      <c r="D79" s="119">
        <f>C79*550000</f>
        <v>550000</v>
      </c>
      <c r="E79" s="113"/>
      <c r="F79" s="180"/>
    </row>
    <row r="80" spans="1:8" s="38" customFormat="1" ht="15" x14ac:dyDescent="0.25">
      <c r="A80" s="25"/>
      <c r="B80" s="205" t="s">
        <v>92</v>
      </c>
      <c r="C80" s="47">
        <v>1</v>
      </c>
      <c r="D80" s="119">
        <f>C80*450000</f>
        <v>450000</v>
      </c>
      <c r="E80" s="113"/>
      <c r="F80" s="180"/>
    </row>
    <row r="81" spans="1:10" s="38" customFormat="1" ht="15" x14ac:dyDescent="0.25">
      <c r="A81" s="25"/>
      <c r="B81" s="205" t="s">
        <v>93</v>
      </c>
      <c r="C81" s="47">
        <v>2</v>
      </c>
      <c r="D81" s="119">
        <f>C81*15000</f>
        <v>30000</v>
      </c>
      <c r="E81" s="113"/>
      <c r="F81" s="180"/>
    </row>
    <row r="82" spans="1:10" s="38" customFormat="1" x14ac:dyDescent="0.2">
      <c r="A82" s="25"/>
      <c r="B82" s="205" t="s">
        <v>94</v>
      </c>
      <c r="C82" s="54">
        <v>1</v>
      </c>
      <c r="D82" s="119">
        <f>C82*130000</f>
        <v>130000</v>
      </c>
      <c r="E82" s="113"/>
      <c r="F82" s="180"/>
    </row>
    <row r="83" spans="1:10" s="38" customFormat="1" ht="15" x14ac:dyDescent="0.25">
      <c r="A83" s="25"/>
      <c r="B83" s="48" t="s">
        <v>95</v>
      </c>
      <c r="C83" s="47">
        <v>0</v>
      </c>
      <c r="D83" s="119">
        <f>C83*5000</f>
        <v>0</v>
      </c>
      <c r="E83" s="58"/>
      <c r="F83" s="180"/>
    </row>
    <row r="84" spans="1:10" s="141" customFormat="1" ht="15" customHeight="1" x14ac:dyDescent="0.2">
      <c r="A84" s="25"/>
      <c r="B84" s="205" t="s">
        <v>96</v>
      </c>
      <c r="C84" s="54">
        <v>1</v>
      </c>
      <c r="D84" s="119">
        <f>C84*5000</f>
        <v>5000</v>
      </c>
      <c r="E84" s="113"/>
      <c r="F84" s="180"/>
    </row>
    <row r="85" spans="1:10" s="141" customFormat="1" ht="15" customHeight="1" x14ac:dyDescent="0.25">
      <c r="A85" s="25"/>
      <c r="B85" s="205" t="s">
        <v>97</v>
      </c>
      <c r="C85" s="47">
        <v>2</v>
      </c>
      <c r="D85" s="119">
        <f>C85*7000</f>
        <v>14000</v>
      </c>
      <c r="E85" s="113"/>
      <c r="F85" s="180"/>
    </row>
    <row r="86" spans="1:10" s="141" customFormat="1" ht="15" customHeight="1" x14ac:dyDescent="0.25">
      <c r="A86" s="25"/>
      <c r="B86" s="205" t="s">
        <v>98</v>
      </c>
      <c r="C86" s="47">
        <v>2</v>
      </c>
      <c r="D86" s="119">
        <f>C86*8000</f>
        <v>16000</v>
      </c>
      <c r="E86" s="113"/>
      <c r="F86" s="180"/>
    </row>
    <row r="87" spans="1:10" s="38" customFormat="1" ht="15" x14ac:dyDescent="0.25">
      <c r="A87" s="25"/>
      <c r="B87" s="205" t="s">
        <v>99</v>
      </c>
      <c r="C87" s="47"/>
      <c r="D87" s="119">
        <f>C87*8000</f>
        <v>0</v>
      </c>
      <c r="E87" s="113"/>
      <c r="F87" s="180"/>
    </row>
    <row r="88" spans="1:10" s="141" customFormat="1" ht="15" customHeight="1" x14ac:dyDescent="0.25">
      <c r="A88" s="25"/>
      <c r="B88" s="205" t="s">
        <v>100</v>
      </c>
      <c r="C88" s="47"/>
      <c r="D88" s="119">
        <f>C88*25000</f>
        <v>0</v>
      </c>
      <c r="E88" s="113"/>
      <c r="F88" s="180"/>
    </row>
    <row r="89" spans="1:10" s="141" customFormat="1" ht="15" customHeight="1" x14ac:dyDescent="0.2">
      <c r="A89" s="25"/>
      <c r="B89" s="205" t="s">
        <v>101</v>
      </c>
      <c r="C89" s="54"/>
      <c r="D89" s="119">
        <f>C89*1500</f>
        <v>0</v>
      </c>
      <c r="E89" s="113"/>
      <c r="F89" s="180"/>
    </row>
    <row r="90" spans="1:10" s="38" customFormat="1" ht="15" x14ac:dyDescent="0.25">
      <c r="A90" s="25"/>
      <c r="B90" s="205" t="s">
        <v>102</v>
      </c>
      <c r="C90" s="47">
        <v>6</v>
      </c>
      <c r="D90" s="119">
        <f>C90*35000</f>
        <v>210000</v>
      </c>
      <c r="E90" s="58"/>
      <c r="F90" s="180"/>
    </row>
    <row r="91" spans="1:10" s="141" customFormat="1" ht="15" customHeight="1" thickBot="1" x14ac:dyDescent="0.25">
      <c r="A91" s="187"/>
      <c r="B91" s="188" t="s">
        <v>103</v>
      </c>
      <c r="C91" s="202">
        <v>400</v>
      </c>
      <c r="D91" s="189">
        <f>C91*1500</f>
        <v>600000</v>
      </c>
      <c r="E91" s="190"/>
      <c r="F91" s="191"/>
    </row>
    <row r="92" spans="1:10" ht="13.5" thickBot="1" x14ac:dyDescent="0.25">
      <c r="A92" s="171"/>
      <c r="B92" s="172" t="s">
        <v>159</v>
      </c>
      <c r="C92" s="173">
        <f>SUM(C79:C91)</f>
        <v>416</v>
      </c>
      <c r="D92" s="173">
        <f>SUM(D79:D91)</f>
        <v>2005000</v>
      </c>
      <c r="E92" s="173">
        <f>SUM(E79:E91)</f>
        <v>0</v>
      </c>
      <c r="F92" s="174">
        <f>SUM(F79:F91)</f>
        <v>0</v>
      </c>
      <c r="H92" s="43"/>
    </row>
    <row r="93" spans="1:10" x14ac:dyDescent="0.2">
      <c r="A93" s="210" t="s">
        <v>10</v>
      </c>
      <c r="B93" s="211" t="s">
        <v>104</v>
      </c>
      <c r="C93" s="177"/>
      <c r="D93" s="178"/>
      <c r="E93" s="177"/>
      <c r="F93" s="179"/>
    </row>
    <row r="94" spans="1:10" s="141" customFormat="1" ht="15" x14ac:dyDescent="0.25">
      <c r="A94" s="143"/>
      <c r="B94" s="205" t="s">
        <v>105</v>
      </c>
      <c r="C94" s="47">
        <v>1000</v>
      </c>
      <c r="D94" s="119">
        <f>C94*10150</f>
        <v>10150000</v>
      </c>
      <c r="E94" s="58"/>
      <c r="F94" s="180"/>
      <c r="I94" s="146"/>
      <c r="J94" s="147"/>
    </row>
    <row r="95" spans="1:10" s="38" customFormat="1" ht="15" x14ac:dyDescent="0.25">
      <c r="A95" s="25"/>
      <c r="B95" s="48" t="s">
        <v>106</v>
      </c>
      <c r="C95" s="47">
        <v>151</v>
      </c>
      <c r="D95" s="119">
        <f>C95*2500000/151</f>
        <v>2500000</v>
      </c>
      <c r="E95" s="58"/>
      <c r="F95" s="180"/>
      <c r="I95" s="146"/>
    </row>
    <row r="96" spans="1:10" s="38" customFormat="1" ht="15" x14ac:dyDescent="0.25">
      <c r="A96" s="25"/>
      <c r="B96" s="48" t="s">
        <v>107</v>
      </c>
      <c r="C96" s="47">
        <v>20</v>
      </c>
      <c r="D96" s="119">
        <f>C96*10000</f>
        <v>200000</v>
      </c>
      <c r="E96" s="58"/>
      <c r="F96" s="180"/>
      <c r="I96" s="124"/>
    </row>
    <row r="97" spans="1:9" s="38" customFormat="1" ht="15" x14ac:dyDescent="0.25">
      <c r="A97" s="25"/>
      <c r="B97" s="208" t="s">
        <v>109</v>
      </c>
      <c r="C97" s="47">
        <v>450</v>
      </c>
      <c r="D97" s="119">
        <f>C97*3170000/450</f>
        <v>3170000</v>
      </c>
      <c r="E97" s="58"/>
      <c r="F97" s="180"/>
    </row>
    <row r="98" spans="1:9" s="38" customFormat="1" ht="15" x14ac:dyDescent="0.25">
      <c r="A98" s="25"/>
      <c r="B98" s="208" t="s">
        <v>111</v>
      </c>
      <c r="C98" s="47">
        <v>100</v>
      </c>
      <c r="D98" s="119">
        <f>C98*3000</f>
        <v>300000</v>
      </c>
      <c r="E98" s="58"/>
      <c r="F98" s="180"/>
    </row>
    <row r="99" spans="1:9" s="38" customFormat="1" ht="15" x14ac:dyDescent="0.25">
      <c r="A99" s="25"/>
      <c r="B99" s="208" t="s">
        <v>113</v>
      </c>
      <c r="C99" s="47">
        <v>40</v>
      </c>
      <c r="D99" s="119">
        <f>C99*32000</f>
        <v>1280000</v>
      </c>
      <c r="E99" s="58"/>
      <c r="F99" s="180"/>
    </row>
    <row r="100" spans="1:9" s="38" customFormat="1" ht="15" x14ac:dyDescent="0.25">
      <c r="A100" s="25"/>
      <c r="B100" s="208" t="s">
        <v>115</v>
      </c>
      <c r="C100" s="47">
        <v>61</v>
      </c>
      <c r="D100" s="119">
        <f>C100*1000000/61</f>
        <v>1000000</v>
      </c>
      <c r="E100" s="113"/>
      <c r="F100" s="180"/>
    </row>
    <row r="101" spans="1:9" s="38" customFormat="1" ht="15" x14ac:dyDescent="0.25">
      <c r="A101" s="25"/>
      <c r="B101" s="208" t="s">
        <v>279</v>
      </c>
      <c r="C101" s="47">
        <v>15</v>
      </c>
      <c r="D101" s="119">
        <v>3850000</v>
      </c>
      <c r="E101" s="113"/>
      <c r="F101" s="180"/>
    </row>
    <row r="102" spans="1:9" s="38" customFormat="1" ht="15" x14ac:dyDescent="0.25">
      <c r="A102" s="25"/>
      <c r="B102" s="205" t="s">
        <v>116</v>
      </c>
      <c r="C102" s="47">
        <v>46</v>
      </c>
      <c r="D102" s="119">
        <f>C102*380000/46</f>
        <v>380000</v>
      </c>
      <c r="E102" s="113"/>
      <c r="F102" s="180"/>
    </row>
    <row r="103" spans="1:9" s="141" customFormat="1" ht="15" x14ac:dyDescent="0.25">
      <c r="A103" s="25"/>
      <c r="B103" s="208" t="s">
        <v>117</v>
      </c>
      <c r="C103" s="47">
        <v>900</v>
      </c>
      <c r="D103" s="119">
        <f>C103*2000000/900</f>
        <v>2000000</v>
      </c>
      <c r="E103" s="113"/>
      <c r="F103" s="180"/>
    </row>
    <row r="104" spans="1:9" s="38" customFormat="1" x14ac:dyDescent="0.2">
      <c r="A104" s="25"/>
      <c r="B104" s="48" t="s">
        <v>118</v>
      </c>
      <c r="C104" s="54">
        <v>1</v>
      </c>
      <c r="D104" s="119">
        <f>C104*100000</f>
        <v>100000</v>
      </c>
      <c r="E104" s="113"/>
      <c r="F104" s="180"/>
      <c r="I104" s="124"/>
    </row>
    <row r="105" spans="1:9" s="141" customFormat="1" x14ac:dyDescent="0.2">
      <c r="A105" s="143"/>
      <c r="B105" s="205" t="s">
        <v>119</v>
      </c>
      <c r="C105" s="54">
        <v>1</v>
      </c>
      <c r="D105" s="119">
        <f>C105*18000000</f>
        <v>18000000</v>
      </c>
      <c r="E105" s="58"/>
      <c r="F105" s="180"/>
      <c r="I105" s="146"/>
    </row>
    <row r="106" spans="1:9" s="141" customFormat="1" ht="15" x14ac:dyDescent="0.25">
      <c r="A106" s="143"/>
      <c r="B106" s="48" t="s">
        <v>120</v>
      </c>
      <c r="C106" s="47">
        <v>1</v>
      </c>
      <c r="D106" s="119">
        <f>C106*12000000</f>
        <v>12000000</v>
      </c>
      <c r="E106" s="58"/>
      <c r="F106" s="180"/>
      <c r="I106" s="146"/>
    </row>
    <row r="107" spans="1:9" s="38" customFormat="1" x14ac:dyDescent="0.2">
      <c r="A107" s="25"/>
      <c r="B107" s="320" t="s">
        <v>122</v>
      </c>
      <c r="C107" s="54">
        <v>1</v>
      </c>
      <c r="D107" s="119">
        <f>C107*46500000</f>
        <v>46500000</v>
      </c>
      <c r="E107" s="58"/>
      <c r="F107" s="180"/>
      <c r="I107" s="124"/>
    </row>
    <row r="108" spans="1:9" s="38" customFormat="1" ht="25.5" x14ac:dyDescent="0.2">
      <c r="A108" s="25"/>
      <c r="B108" s="209" t="s">
        <v>124</v>
      </c>
      <c r="C108" s="54">
        <v>1</v>
      </c>
      <c r="D108" s="119">
        <f>C108*25000000</f>
        <v>25000000</v>
      </c>
      <c r="E108" s="58"/>
      <c r="F108" s="180"/>
      <c r="I108" s="124"/>
    </row>
    <row r="109" spans="1:9" s="38" customFormat="1" x14ac:dyDescent="0.2">
      <c r="A109" s="25"/>
      <c r="B109" s="320" t="s">
        <v>126</v>
      </c>
      <c r="C109" s="54">
        <v>1</v>
      </c>
      <c r="D109" s="119">
        <f>C109*20000000</f>
        <v>20000000</v>
      </c>
      <c r="E109" s="58"/>
      <c r="F109" s="180"/>
      <c r="I109" s="124"/>
    </row>
    <row r="110" spans="1:9" s="38" customFormat="1" x14ac:dyDescent="0.2">
      <c r="A110" s="25"/>
      <c r="B110" s="320" t="s">
        <v>128</v>
      </c>
      <c r="C110" s="54">
        <v>1</v>
      </c>
      <c r="D110" s="119">
        <f>C110*10000000</f>
        <v>10000000</v>
      </c>
      <c r="E110" s="58"/>
      <c r="F110" s="180"/>
      <c r="I110" s="124"/>
    </row>
    <row r="111" spans="1:9" s="38" customFormat="1" x14ac:dyDescent="0.2">
      <c r="A111" s="25"/>
      <c r="B111" s="320" t="s">
        <v>130</v>
      </c>
      <c r="C111" s="54">
        <v>1</v>
      </c>
      <c r="D111" s="119">
        <f>C111*10000000</f>
        <v>10000000</v>
      </c>
      <c r="E111" s="58"/>
      <c r="F111" s="180"/>
      <c r="I111" s="124"/>
    </row>
    <row r="112" spans="1:9" s="38" customFormat="1" x14ac:dyDescent="0.2">
      <c r="A112" s="25"/>
      <c r="B112" s="320" t="s">
        <v>280</v>
      </c>
      <c r="C112" s="54">
        <v>1</v>
      </c>
      <c r="D112" s="119">
        <f>C112*3240000</f>
        <v>3240000</v>
      </c>
      <c r="E112" s="58"/>
      <c r="F112" s="180"/>
      <c r="I112" s="124"/>
    </row>
    <row r="113" spans="1:9" s="38" customFormat="1" x14ac:dyDescent="0.2">
      <c r="A113" s="25"/>
      <c r="B113" s="320" t="s">
        <v>133</v>
      </c>
      <c r="C113" s="54">
        <v>1</v>
      </c>
      <c r="D113" s="119">
        <f>C113*3240000</f>
        <v>3240000</v>
      </c>
      <c r="E113" s="58"/>
      <c r="F113" s="180"/>
      <c r="I113" s="124"/>
    </row>
    <row r="114" spans="1:9" s="141" customFormat="1" ht="13.5" customHeight="1" x14ac:dyDescent="0.2">
      <c r="A114" s="25"/>
      <c r="B114" s="208" t="s">
        <v>134</v>
      </c>
      <c r="C114" s="54">
        <v>1</v>
      </c>
      <c r="D114" s="119">
        <f>C114*100000</f>
        <v>100000</v>
      </c>
      <c r="E114" s="58"/>
      <c r="F114" s="180"/>
    </row>
    <row r="115" spans="1:9" s="141" customFormat="1" ht="13.5" customHeight="1" x14ac:dyDescent="0.2">
      <c r="A115" s="25"/>
      <c r="B115" s="208" t="s">
        <v>135</v>
      </c>
      <c r="C115" s="54">
        <v>1</v>
      </c>
      <c r="D115" s="119">
        <f>C115*200000</f>
        <v>200000</v>
      </c>
      <c r="E115" s="58"/>
      <c r="F115" s="180"/>
    </row>
    <row r="116" spans="1:9" s="141" customFormat="1" ht="25.5" x14ac:dyDescent="0.2">
      <c r="A116" s="25"/>
      <c r="B116" s="208" t="s">
        <v>136</v>
      </c>
      <c r="C116" s="54">
        <v>1</v>
      </c>
      <c r="D116" s="119">
        <f>C116*2000000</f>
        <v>2000000</v>
      </c>
      <c r="E116" s="58"/>
      <c r="F116" s="180"/>
    </row>
    <row r="117" spans="1:9" s="38" customFormat="1" ht="15" x14ac:dyDescent="0.25">
      <c r="A117" s="25"/>
      <c r="B117" s="205" t="s">
        <v>137</v>
      </c>
      <c r="C117" s="47">
        <v>300000</v>
      </c>
      <c r="D117" s="119">
        <f>15*C117</f>
        <v>4500000</v>
      </c>
      <c r="E117" s="113"/>
      <c r="F117" s="180"/>
    </row>
    <row r="118" spans="1:9" s="38" customFormat="1" ht="15" x14ac:dyDescent="0.25">
      <c r="A118" s="25"/>
      <c r="B118" s="205" t="s">
        <v>138</v>
      </c>
      <c r="C118" s="47">
        <v>300000</v>
      </c>
      <c r="D118" s="119">
        <f>40*C118</f>
        <v>12000000</v>
      </c>
      <c r="E118" s="113"/>
      <c r="F118" s="180"/>
    </row>
    <row r="119" spans="1:9" s="38" customFormat="1" ht="15" x14ac:dyDescent="0.25">
      <c r="A119" s="25"/>
      <c r="B119" s="48" t="s">
        <v>139</v>
      </c>
      <c r="C119" s="47">
        <v>100000</v>
      </c>
      <c r="D119" s="119">
        <f>C119*50</f>
        <v>5000000</v>
      </c>
      <c r="E119" s="113"/>
      <c r="F119" s="180"/>
    </row>
    <row r="120" spans="1:9" s="38" customFormat="1" ht="15" x14ac:dyDescent="0.25">
      <c r="A120" s="25"/>
      <c r="B120" s="48" t="s">
        <v>140</v>
      </c>
      <c r="C120" s="47">
        <v>100000</v>
      </c>
      <c r="D120" s="119">
        <f>C120*50</f>
        <v>5000000</v>
      </c>
      <c r="E120" s="113"/>
      <c r="F120" s="180"/>
    </row>
    <row r="121" spans="1:9" s="38" customFormat="1" ht="15" x14ac:dyDescent="0.25">
      <c r="A121" s="25"/>
      <c r="B121" s="48" t="s">
        <v>141</v>
      </c>
      <c r="C121" s="47">
        <v>100000</v>
      </c>
      <c r="D121" s="119">
        <f>C121*50</f>
        <v>5000000</v>
      </c>
      <c r="E121" s="113"/>
      <c r="F121" s="180"/>
    </row>
    <row r="122" spans="1:9" s="38" customFormat="1" ht="15" x14ac:dyDescent="0.25">
      <c r="A122" s="25"/>
      <c r="B122" s="48" t="s">
        <v>142</v>
      </c>
      <c r="C122" s="47">
        <v>14</v>
      </c>
      <c r="D122" s="119">
        <f>C122*200000</f>
        <v>2800000</v>
      </c>
      <c r="E122" s="113"/>
      <c r="F122" s="180"/>
    </row>
    <row r="123" spans="1:9" s="38" customFormat="1" ht="15" x14ac:dyDescent="0.25">
      <c r="A123" s="25"/>
      <c r="B123" s="205" t="s">
        <v>143</v>
      </c>
      <c r="C123" s="47">
        <v>100</v>
      </c>
      <c r="D123" s="119">
        <f>347200*C123</f>
        <v>34720000</v>
      </c>
      <c r="E123" s="113"/>
      <c r="F123" s="180"/>
    </row>
    <row r="124" spans="1:9" s="38" customFormat="1" x14ac:dyDescent="0.2">
      <c r="A124" s="25"/>
      <c r="B124" s="48" t="s">
        <v>144</v>
      </c>
      <c r="C124" s="54">
        <v>1000</v>
      </c>
      <c r="D124" s="119">
        <f>3000*C124</f>
        <v>3000000</v>
      </c>
      <c r="E124" s="58"/>
      <c r="F124" s="180"/>
      <c r="I124" s="124"/>
    </row>
    <row r="125" spans="1:9" s="38" customFormat="1" ht="38.25" x14ac:dyDescent="0.2">
      <c r="A125" s="25"/>
      <c r="B125" s="205" t="s">
        <v>145</v>
      </c>
      <c r="C125" s="54">
        <v>1</v>
      </c>
      <c r="D125" s="119">
        <f>2200000*C125</f>
        <v>2200000</v>
      </c>
      <c r="E125" s="113"/>
      <c r="F125" s="180"/>
    </row>
    <row r="126" spans="1:9" s="38" customFormat="1" x14ac:dyDescent="0.2">
      <c r="A126" s="25"/>
      <c r="B126" s="205" t="s">
        <v>146</v>
      </c>
      <c r="C126" s="54">
        <v>1</v>
      </c>
      <c r="D126" s="119">
        <f>60000*C126</f>
        <v>60000</v>
      </c>
      <c r="E126" s="113"/>
      <c r="F126" s="180"/>
    </row>
    <row r="127" spans="1:9" s="38" customFormat="1" x14ac:dyDescent="0.2">
      <c r="A127" s="25"/>
      <c r="B127" s="205" t="s">
        <v>147</v>
      </c>
      <c r="C127" s="54">
        <v>1</v>
      </c>
      <c r="D127" s="119">
        <f>1000000*C127</f>
        <v>1000000</v>
      </c>
      <c r="E127" s="113"/>
      <c r="F127" s="180"/>
    </row>
    <row r="128" spans="1:9" s="38" customFormat="1" x14ac:dyDescent="0.2">
      <c r="A128" s="25"/>
      <c r="B128" s="205" t="s">
        <v>148</v>
      </c>
      <c r="C128" s="54">
        <v>15000</v>
      </c>
      <c r="D128" s="119">
        <f>120*C128</f>
        <v>1800000</v>
      </c>
      <c r="E128" s="113"/>
      <c r="F128" s="180"/>
    </row>
    <row r="129" spans="1:8" s="53" customFormat="1" ht="25.5" x14ac:dyDescent="0.2">
      <c r="A129" s="25"/>
      <c r="B129" s="205" t="s">
        <v>149</v>
      </c>
      <c r="C129" s="54"/>
      <c r="D129" s="119"/>
      <c r="E129" s="113"/>
      <c r="F129" s="180"/>
    </row>
    <row r="130" spans="1:8" s="38" customFormat="1" ht="15" x14ac:dyDescent="0.25">
      <c r="A130" s="25"/>
      <c r="B130" s="205" t="s">
        <v>150</v>
      </c>
      <c r="C130" s="47"/>
      <c r="D130" s="119"/>
      <c r="E130" s="58"/>
      <c r="F130" s="180"/>
    </row>
    <row r="131" spans="1:8" s="38" customFormat="1" x14ac:dyDescent="0.2">
      <c r="A131" s="25"/>
      <c r="B131" s="205" t="s">
        <v>151</v>
      </c>
      <c r="C131" s="54"/>
      <c r="D131" s="119"/>
      <c r="E131" s="58"/>
      <c r="F131" s="180"/>
    </row>
    <row r="132" spans="1:8" s="38" customFormat="1" ht="15.75" thickBot="1" x14ac:dyDescent="0.3">
      <c r="A132" s="187"/>
      <c r="B132" s="188" t="s">
        <v>152</v>
      </c>
      <c r="C132" s="120"/>
      <c r="D132" s="189"/>
      <c r="E132" s="198"/>
      <c r="F132" s="191"/>
    </row>
    <row r="133" spans="1:8" ht="13.5" thickBot="1" x14ac:dyDescent="0.25">
      <c r="A133" s="171"/>
      <c r="B133" s="172" t="s">
        <v>160</v>
      </c>
      <c r="C133" s="173">
        <f>SUM(C94:C132)</f>
        <v>918913</v>
      </c>
      <c r="D133" s="173">
        <f>SUM(D94:D132)</f>
        <v>252290000</v>
      </c>
      <c r="E133" s="173">
        <f>SUM(E94:E132)</f>
        <v>0</v>
      </c>
      <c r="F133" s="174">
        <f>SUM(F94:F132)</f>
        <v>0</v>
      </c>
      <c r="H133" s="44"/>
    </row>
    <row r="134" spans="1:8" s="38" customFormat="1" x14ac:dyDescent="0.2">
      <c r="A134" s="210" t="s">
        <v>11</v>
      </c>
      <c r="B134" s="211" t="s">
        <v>153</v>
      </c>
      <c r="C134" s="213"/>
      <c r="D134" s="178"/>
      <c r="E134" s="213"/>
      <c r="F134" s="214"/>
    </row>
    <row r="135" spans="1:8" s="38" customFormat="1" x14ac:dyDescent="0.2">
      <c r="A135" s="25"/>
      <c r="B135" s="205" t="s">
        <v>163</v>
      </c>
      <c r="C135" s="54"/>
      <c r="D135" s="119"/>
      <c r="E135" s="113"/>
      <c r="F135" s="180"/>
    </row>
    <row r="136" spans="1:8" s="38" customFormat="1" x14ac:dyDescent="0.2">
      <c r="A136" s="25"/>
      <c r="B136" s="205" t="s">
        <v>164</v>
      </c>
      <c r="C136" s="54">
        <v>3</v>
      </c>
      <c r="D136" s="119">
        <f>C136*1000000/3</f>
        <v>1000000</v>
      </c>
      <c r="E136" s="113"/>
      <c r="F136" s="180"/>
    </row>
    <row r="137" spans="1:8" s="38" customFormat="1" x14ac:dyDescent="0.2">
      <c r="A137" s="25"/>
      <c r="B137" s="205" t="s">
        <v>165</v>
      </c>
      <c r="C137" s="54"/>
      <c r="D137" s="119"/>
      <c r="E137" s="113"/>
      <c r="F137" s="180"/>
    </row>
    <row r="138" spans="1:8" s="38" customFormat="1" ht="15" x14ac:dyDescent="0.25">
      <c r="A138" s="25"/>
      <c r="B138" s="205" t="s">
        <v>166</v>
      </c>
      <c r="C138" s="47"/>
      <c r="D138" s="119"/>
      <c r="E138" s="113"/>
      <c r="F138" s="180"/>
    </row>
    <row r="139" spans="1:8" s="38" customFormat="1" ht="25.5" x14ac:dyDescent="0.2">
      <c r="A139" s="25"/>
      <c r="B139" s="205" t="s">
        <v>167</v>
      </c>
      <c r="C139" s="54"/>
      <c r="D139" s="119"/>
      <c r="E139" s="113"/>
      <c r="F139" s="180"/>
    </row>
    <row r="140" spans="1:8" s="38" customFormat="1" ht="16.899999999999999" customHeight="1" x14ac:dyDescent="0.2">
      <c r="A140" s="25"/>
      <c r="B140" s="40" t="s">
        <v>168</v>
      </c>
      <c r="C140" s="54"/>
      <c r="D140" s="119"/>
      <c r="E140" s="113"/>
      <c r="F140" s="180"/>
    </row>
    <row r="141" spans="1:8" s="38" customFormat="1" x14ac:dyDescent="0.2">
      <c r="A141" s="25"/>
      <c r="B141" s="40" t="s">
        <v>169</v>
      </c>
      <c r="C141" s="54"/>
      <c r="D141" s="119"/>
      <c r="E141" s="113"/>
      <c r="F141" s="180"/>
    </row>
    <row r="142" spans="1:8" s="38" customFormat="1" x14ac:dyDescent="0.2">
      <c r="A142" s="25"/>
      <c r="B142" s="40" t="s">
        <v>170</v>
      </c>
      <c r="C142" s="54"/>
      <c r="D142" s="119"/>
      <c r="E142" s="113"/>
      <c r="F142" s="180"/>
    </row>
    <row r="143" spans="1:8" s="38" customFormat="1" x14ac:dyDescent="0.2">
      <c r="A143" s="25"/>
      <c r="B143" s="40" t="s">
        <v>277</v>
      </c>
      <c r="C143" s="54">
        <v>15</v>
      </c>
      <c r="D143" s="119">
        <v>330000</v>
      </c>
      <c r="E143" s="113"/>
      <c r="F143" s="180"/>
    </row>
    <row r="144" spans="1:8" s="38" customFormat="1" x14ac:dyDescent="0.2">
      <c r="A144" s="25"/>
      <c r="B144" s="40" t="s">
        <v>278</v>
      </c>
      <c r="C144" s="54">
        <v>10</v>
      </c>
      <c r="D144" s="119">
        <v>220000</v>
      </c>
      <c r="E144" s="113"/>
      <c r="F144" s="180"/>
    </row>
    <row r="145" spans="1:6" s="38" customFormat="1" x14ac:dyDescent="0.2">
      <c r="A145" s="25"/>
      <c r="B145" s="40" t="s">
        <v>171</v>
      </c>
      <c r="C145" s="54">
        <v>400</v>
      </c>
      <c r="D145" s="119">
        <f>C145*1700</f>
        <v>680000</v>
      </c>
      <c r="E145" s="113"/>
      <c r="F145" s="180"/>
    </row>
    <row r="146" spans="1:6" s="38" customFormat="1" ht="15" x14ac:dyDescent="0.25">
      <c r="A146" s="25"/>
      <c r="B146" s="24" t="s">
        <v>172</v>
      </c>
      <c r="C146" s="47"/>
      <c r="D146" s="119"/>
      <c r="E146" s="113"/>
      <c r="F146" s="180"/>
    </row>
    <row r="147" spans="1:6" s="38" customFormat="1" x14ac:dyDescent="0.2">
      <c r="A147" s="25"/>
      <c r="B147" s="40" t="s">
        <v>173</v>
      </c>
      <c r="C147" s="54"/>
      <c r="D147" s="119"/>
      <c r="E147" s="113"/>
      <c r="F147" s="180"/>
    </row>
    <row r="148" spans="1:6" s="38" customFormat="1" ht="15" x14ac:dyDescent="0.25">
      <c r="A148" s="25"/>
      <c r="B148" s="40" t="s">
        <v>174</v>
      </c>
      <c r="C148" s="47"/>
      <c r="D148" s="119"/>
      <c r="E148" s="58"/>
      <c r="F148" s="180"/>
    </row>
    <row r="149" spans="1:6" s="38" customFormat="1" x14ac:dyDescent="0.2">
      <c r="A149" s="25"/>
      <c r="B149" s="40" t="s">
        <v>175</v>
      </c>
      <c r="C149" s="54">
        <v>1</v>
      </c>
      <c r="D149" s="119">
        <f>C149*80000</f>
        <v>80000</v>
      </c>
      <c r="E149" s="113"/>
      <c r="F149" s="180"/>
    </row>
    <row r="150" spans="1:6" s="38" customFormat="1" ht="27.75" customHeight="1" x14ac:dyDescent="0.25">
      <c r="A150" s="25"/>
      <c r="B150" s="40" t="s">
        <v>176</v>
      </c>
      <c r="C150" s="47">
        <v>1</v>
      </c>
      <c r="D150" s="119">
        <f>C150*950000</f>
        <v>950000</v>
      </c>
      <c r="E150" s="113"/>
      <c r="F150" s="180"/>
    </row>
    <row r="151" spans="1:6" s="38" customFormat="1" ht="15" x14ac:dyDescent="0.25">
      <c r="A151" s="25"/>
      <c r="B151" s="321" t="s">
        <v>177</v>
      </c>
      <c r="C151" s="47">
        <v>4000</v>
      </c>
      <c r="D151" s="119">
        <f>C151*250</f>
        <v>1000000</v>
      </c>
      <c r="E151" s="113"/>
      <c r="F151" s="180"/>
    </row>
    <row r="152" spans="1:6" s="38" customFormat="1" ht="15" x14ac:dyDescent="0.25">
      <c r="A152" s="25"/>
      <c r="B152" s="144" t="s">
        <v>178</v>
      </c>
      <c r="C152" s="47">
        <v>1</v>
      </c>
      <c r="D152" s="119">
        <f>C152*580000</f>
        <v>580000</v>
      </c>
      <c r="E152" s="113"/>
      <c r="F152" s="180"/>
    </row>
    <row r="153" spans="1:6" s="38" customFormat="1" ht="15" x14ac:dyDescent="0.25">
      <c r="A153" s="25"/>
      <c r="B153" s="319" t="s">
        <v>179</v>
      </c>
      <c r="C153" s="47">
        <v>1</v>
      </c>
      <c r="D153" s="119">
        <f>174800</f>
        <v>174800</v>
      </c>
      <c r="E153" s="113"/>
      <c r="F153" s="180"/>
    </row>
    <row r="154" spans="1:6" s="38" customFormat="1" ht="26.25" x14ac:dyDescent="0.25">
      <c r="A154" s="25"/>
      <c r="B154" s="24" t="s">
        <v>180</v>
      </c>
      <c r="C154" s="47">
        <v>2</v>
      </c>
      <c r="D154" s="119">
        <f>C154*155250</f>
        <v>310500</v>
      </c>
      <c r="E154" s="113"/>
      <c r="F154" s="180"/>
    </row>
    <row r="155" spans="1:6" s="38" customFormat="1" ht="15" x14ac:dyDescent="0.25">
      <c r="A155" s="25"/>
      <c r="B155" s="24" t="s">
        <v>181</v>
      </c>
      <c r="C155" s="47">
        <v>24</v>
      </c>
      <c r="D155" s="119">
        <f>C155*15000</f>
        <v>360000</v>
      </c>
      <c r="E155" s="113"/>
      <c r="F155" s="180"/>
    </row>
    <row r="156" spans="1:6" s="38" customFormat="1" ht="26.25" x14ac:dyDescent="0.25">
      <c r="A156" s="25"/>
      <c r="B156" s="24" t="s">
        <v>182</v>
      </c>
      <c r="C156" s="47">
        <v>1</v>
      </c>
      <c r="D156" s="119">
        <f>C156*550000</f>
        <v>550000</v>
      </c>
      <c r="E156" s="113"/>
      <c r="F156" s="180"/>
    </row>
    <row r="157" spans="1:6" s="38" customFormat="1" ht="15" x14ac:dyDescent="0.25">
      <c r="A157" s="25"/>
      <c r="B157" s="24" t="s">
        <v>183</v>
      </c>
      <c r="C157" s="47">
        <v>1</v>
      </c>
      <c r="D157" s="119">
        <f>C157*539000</f>
        <v>539000</v>
      </c>
      <c r="E157" s="113"/>
      <c r="F157" s="180"/>
    </row>
    <row r="158" spans="1:6" s="38" customFormat="1" ht="15" x14ac:dyDescent="0.25">
      <c r="A158" s="25"/>
      <c r="B158" s="24" t="s">
        <v>184</v>
      </c>
      <c r="C158" s="47">
        <v>1</v>
      </c>
      <c r="D158" s="119">
        <f>C158*7000000</f>
        <v>7000000</v>
      </c>
      <c r="E158" s="113"/>
      <c r="F158" s="180"/>
    </row>
    <row r="159" spans="1:6" s="38" customFormat="1" ht="26.25" x14ac:dyDescent="0.25">
      <c r="A159" s="25"/>
      <c r="B159" s="24" t="s">
        <v>185</v>
      </c>
      <c r="C159" s="47">
        <v>1</v>
      </c>
      <c r="D159" s="119">
        <f>C159*7700000</f>
        <v>7700000</v>
      </c>
      <c r="E159" s="113"/>
      <c r="F159" s="180"/>
    </row>
    <row r="160" spans="1:6" s="38" customFormat="1" ht="15" x14ac:dyDescent="0.25">
      <c r="A160" s="25"/>
      <c r="B160" s="319" t="s">
        <v>186</v>
      </c>
      <c r="C160" s="47">
        <v>2</v>
      </c>
      <c r="D160" s="119">
        <f>C160*50000</f>
        <v>100000</v>
      </c>
      <c r="E160" s="113"/>
      <c r="F160" s="180"/>
    </row>
    <row r="161" spans="1:8" s="38" customFormat="1" ht="26.25" x14ac:dyDescent="0.25">
      <c r="A161" s="25"/>
      <c r="B161" s="24" t="s">
        <v>187</v>
      </c>
      <c r="C161" s="47">
        <v>50</v>
      </c>
      <c r="D161" s="119">
        <f>C161*60000</f>
        <v>3000000</v>
      </c>
      <c r="E161" s="113"/>
      <c r="F161" s="180"/>
    </row>
    <row r="162" spans="1:8" s="38" customFormat="1" ht="15" x14ac:dyDescent="0.25">
      <c r="A162" s="25"/>
      <c r="B162" s="24" t="s">
        <v>188</v>
      </c>
      <c r="C162" s="47">
        <v>1</v>
      </c>
      <c r="D162" s="119">
        <f>C162*300000</f>
        <v>300000</v>
      </c>
      <c r="E162" s="113"/>
      <c r="F162" s="180"/>
    </row>
    <row r="163" spans="1:8" s="38" customFormat="1" ht="15" x14ac:dyDescent="0.25">
      <c r="A163" s="25"/>
      <c r="B163" s="24" t="s">
        <v>189</v>
      </c>
      <c r="C163" s="47">
        <v>1</v>
      </c>
      <c r="D163" s="119">
        <f>C163*25000</f>
        <v>25000</v>
      </c>
      <c r="E163" s="113"/>
      <c r="F163" s="180"/>
    </row>
    <row r="164" spans="1:8" s="38" customFormat="1" x14ac:dyDescent="0.2">
      <c r="A164" s="25"/>
      <c r="B164" s="40" t="s">
        <v>190</v>
      </c>
      <c r="C164" s="54"/>
      <c r="D164" s="119"/>
      <c r="E164" s="113"/>
      <c r="F164" s="180"/>
    </row>
    <row r="165" spans="1:8" s="38" customFormat="1" ht="13.5" thickBot="1" x14ac:dyDescent="0.25">
      <c r="A165" s="25"/>
      <c r="B165" s="24" t="s">
        <v>191</v>
      </c>
      <c r="C165" s="54"/>
      <c r="D165" s="119"/>
      <c r="E165" s="58"/>
      <c r="F165" s="180"/>
    </row>
    <row r="166" spans="1:8" ht="13.5" thickBot="1" x14ac:dyDescent="0.25">
      <c r="A166" s="108"/>
      <c r="B166" s="169" t="s">
        <v>161</v>
      </c>
      <c r="C166" s="170">
        <f>SUM(C135:C165)</f>
        <v>4516</v>
      </c>
      <c r="D166" s="170">
        <f>SUM(D135:D165)</f>
        <v>24899300</v>
      </c>
      <c r="E166" s="170">
        <f>SUM(E135:E165)</f>
        <v>0</v>
      </c>
      <c r="F166" s="105">
        <f>SUM(F135:F165)</f>
        <v>0</v>
      </c>
      <c r="H166" s="44"/>
    </row>
    <row r="167" spans="1:8" s="38" customFormat="1" ht="13.5" thickBot="1" x14ac:dyDescent="0.25">
      <c r="A167" s="215"/>
      <c r="B167" s="216"/>
      <c r="C167" s="61"/>
      <c r="D167" s="217"/>
      <c r="E167" s="61"/>
      <c r="F167" s="110"/>
    </row>
    <row r="168" spans="1:8" ht="16.5" thickBot="1" x14ac:dyDescent="0.3">
      <c r="A168" s="218"/>
      <c r="B168" s="219" t="s">
        <v>162</v>
      </c>
      <c r="C168" s="220">
        <f>C166+C133+C92+C77+C73+C60+C48+C12</f>
        <v>925064</v>
      </c>
      <c r="D168" s="220">
        <f>D12+D48+D60+D73+D77+D92+D133+D166</f>
        <v>287223300</v>
      </c>
      <c r="E168" s="220"/>
      <c r="F168" s="221">
        <f>F12+F48+F60+F73+F77+F92+F133+F166</f>
        <v>0</v>
      </c>
      <c r="H168" s="44"/>
    </row>
    <row r="182" spans="1:4" x14ac:dyDescent="0.2">
      <c r="A182" s="5"/>
      <c r="B182" s="5"/>
      <c r="C182" s="5"/>
      <c r="D182" s="38"/>
    </row>
    <row r="183" spans="1:4" x14ac:dyDescent="0.2">
      <c r="A183" s="5"/>
      <c r="B183" s="5"/>
      <c r="C183" s="5"/>
      <c r="D183" s="38"/>
    </row>
  </sheetData>
  <mergeCells count="2">
    <mergeCell ref="E4:F4"/>
    <mergeCell ref="C4:D4"/>
  </mergeCells>
  <phoneticPr fontId="8" type="noConversion"/>
  <pageMargins left="0.75" right="0.51" top="0.61" bottom="0.64" header="0.32" footer="0.33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R183"/>
  <sheetViews>
    <sheetView zoomScale="110" zoomScaleNormal="110" workbookViewId="0">
      <pane xSplit="2" ySplit="5" topLeftCell="C6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48.85546875" style="9" customWidth="1"/>
    <col min="3" max="3" width="8.7109375" style="12" customWidth="1"/>
    <col min="4" max="4" width="11.5703125" style="13" bestFit="1" customWidth="1"/>
    <col min="5" max="5" width="10" style="5" customWidth="1"/>
    <col min="6" max="6" width="9.7109375" style="5" customWidth="1"/>
    <col min="7" max="7" width="8.85546875" style="12" customWidth="1"/>
    <col min="8" max="8" width="12.7109375" style="13" customWidth="1"/>
    <col min="9" max="9" width="10.140625" style="5" customWidth="1"/>
    <col min="10" max="10" width="11.42578125" style="5" customWidth="1"/>
    <col min="11" max="11" width="9.140625" style="12" customWidth="1"/>
    <col min="12" max="12" width="12.85546875" style="13" customWidth="1"/>
    <col min="13" max="13" width="8.42578125" style="5" customWidth="1"/>
    <col min="14" max="14" width="10.42578125" style="5" customWidth="1"/>
    <col min="15" max="15" width="9" style="12" customWidth="1"/>
    <col min="16" max="16" width="11.5703125" style="13" customWidth="1"/>
    <col min="17" max="17" width="9.42578125" style="5" customWidth="1"/>
    <col min="18" max="18" width="11" style="5" customWidth="1"/>
    <col min="19" max="16384" width="9.140625" style="5"/>
  </cols>
  <sheetData>
    <row r="1" spans="1:18" x14ac:dyDescent="0.2">
      <c r="A1" s="1"/>
      <c r="B1" s="14" t="s">
        <v>55</v>
      </c>
      <c r="C1" s="4"/>
      <c r="D1" s="3"/>
      <c r="G1" s="4"/>
      <c r="H1" s="3"/>
      <c r="I1" s="13"/>
      <c r="K1" s="4"/>
      <c r="L1" s="3"/>
      <c r="O1" s="4"/>
      <c r="P1" s="3"/>
    </row>
    <row r="2" spans="1:18" ht="13.5" thickBot="1" x14ac:dyDescent="0.25">
      <c r="A2" s="1"/>
      <c r="B2" s="2"/>
      <c r="C2" s="4"/>
      <c r="D2" s="3"/>
      <c r="F2" s="17" t="s">
        <v>236</v>
      </c>
      <c r="G2" s="4"/>
      <c r="H2" s="3"/>
      <c r="J2" s="17" t="s">
        <v>236</v>
      </c>
      <c r="K2" s="4"/>
      <c r="L2" s="3"/>
      <c r="N2" s="17" t="s">
        <v>236</v>
      </c>
      <c r="O2" s="4"/>
      <c r="P2" s="3"/>
      <c r="R2" s="17" t="s">
        <v>236</v>
      </c>
    </row>
    <row r="3" spans="1:18" s="6" customFormat="1" ht="16.5" thickBot="1" x14ac:dyDescent="0.3">
      <c r="A3" s="70"/>
      <c r="B3" s="71"/>
      <c r="C3" s="413" t="s">
        <v>56</v>
      </c>
      <c r="D3" s="414"/>
      <c r="E3" s="414"/>
      <c r="F3" s="415"/>
      <c r="G3" s="416" t="s">
        <v>237</v>
      </c>
      <c r="H3" s="417"/>
      <c r="I3" s="417"/>
      <c r="J3" s="418"/>
      <c r="K3" s="413" t="s">
        <v>238</v>
      </c>
      <c r="L3" s="414"/>
      <c r="M3" s="414"/>
      <c r="N3" s="415"/>
      <c r="O3" s="413" t="s">
        <v>239</v>
      </c>
      <c r="P3" s="414"/>
      <c r="Q3" s="414"/>
      <c r="R3" s="415"/>
    </row>
    <row r="4" spans="1:18" s="6" customFormat="1" ht="30.75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405" t="s">
        <v>235</v>
      </c>
      <c r="H4" s="406"/>
      <c r="I4" s="411" t="s">
        <v>59</v>
      </c>
      <c r="J4" s="412"/>
      <c r="K4" s="405" t="s">
        <v>235</v>
      </c>
      <c r="L4" s="406"/>
      <c r="M4" s="411" t="s">
        <v>59</v>
      </c>
      <c r="N4" s="412"/>
      <c r="O4" s="405" t="s">
        <v>235</v>
      </c>
      <c r="P4" s="406"/>
      <c r="Q4" s="411" t="s">
        <v>59</v>
      </c>
      <c r="R4" s="412"/>
    </row>
    <row r="5" spans="1:18" s="7" customFormat="1" ht="39" thickBot="1" x14ac:dyDescent="0.25">
      <c r="A5" s="160" t="s">
        <v>62</v>
      </c>
      <c r="B5" s="161" t="s">
        <v>63</v>
      </c>
      <c r="C5" s="229" t="s">
        <v>57</v>
      </c>
      <c r="D5" s="229" t="s">
        <v>58</v>
      </c>
      <c r="E5" s="229" t="s">
        <v>57</v>
      </c>
      <c r="F5" s="229" t="s">
        <v>58</v>
      </c>
      <c r="G5" s="229" t="s">
        <v>0</v>
      </c>
      <c r="H5" s="229" t="s">
        <v>1</v>
      </c>
      <c r="I5" s="229" t="s">
        <v>0</v>
      </c>
      <c r="J5" s="229" t="s">
        <v>12</v>
      </c>
      <c r="K5" s="229" t="s">
        <v>0</v>
      </c>
      <c r="L5" s="229" t="s">
        <v>1</v>
      </c>
      <c r="M5" s="229" t="s">
        <v>0</v>
      </c>
      <c r="N5" s="229" t="s">
        <v>12</v>
      </c>
      <c r="O5" s="229" t="s">
        <v>0</v>
      </c>
      <c r="P5" s="229" t="s">
        <v>1</v>
      </c>
      <c r="Q5" s="229" t="s">
        <v>0</v>
      </c>
      <c r="R5" s="229" t="s">
        <v>12</v>
      </c>
    </row>
    <row r="6" spans="1:18" s="9" customFormat="1" x14ac:dyDescent="0.2">
      <c r="A6" s="175" t="s">
        <v>2</v>
      </c>
      <c r="B6" s="176" t="s">
        <v>3</v>
      </c>
      <c r="C6" s="177"/>
      <c r="D6" s="178"/>
      <c r="E6" s="177"/>
      <c r="F6" s="177"/>
      <c r="G6" s="177"/>
      <c r="H6" s="178"/>
      <c r="I6" s="177"/>
      <c r="J6" s="177"/>
      <c r="K6" s="177"/>
      <c r="L6" s="178"/>
      <c r="M6" s="177"/>
      <c r="N6" s="177"/>
      <c r="O6" s="177"/>
      <c r="P6" s="178"/>
      <c r="Q6" s="177"/>
      <c r="R6" s="179"/>
    </row>
    <row r="7" spans="1:18" x14ac:dyDescent="0.2">
      <c r="A7" s="86"/>
      <c r="B7" s="89" t="s">
        <v>18</v>
      </c>
      <c r="C7" s="64">
        <f t="shared" ref="C7:F11" si="0">G7+K7+O7</f>
        <v>0</v>
      </c>
      <c r="D7" s="64">
        <f t="shared" si="0"/>
        <v>0</v>
      </c>
      <c r="E7" s="64">
        <f t="shared" si="0"/>
        <v>0</v>
      </c>
      <c r="F7" s="64">
        <f t="shared" si="0"/>
        <v>0</v>
      </c>
      <c r="G7" s="90"/>
      <c r="H7" s="91"/>
      <c r="I7" s="90"/>
      <c r="J7" s="90"/>
      <c r="K7" s="90"/>
      <c r="L7" s="91"/>
      <c r="M7" s="90"/>
      <c r="N7" s="90"/>
      <c r="O7" s="90"/>
      <c r="P7" s="91"/>
      <c r="Q7" s="90"/>
      <c r="R7" s="224"/>
    </row>
    <row r="8" spans="1:18" x14ac:dyDescent="0.2">
      <c r="A8" s="86"/>
      <c r="B8" s="89" t="s">
        <v>4</v>
      </c>
      <c r="C8" s="64">
        <f t="shared" si="0"/>
        <v>0</v>
      </c>
      <c r="D8" s="64">
        <f t="shared" si="0"/>
        <v>0</v>
      </c>
      <c r="E8" s="64">
        <f t="shared" si="0"/>
        <v>0</v>
      </c>
      <c r="F8" s="64">
        <f t="shared" si="0"/>
        <v>0</v>
      </c>
      <c r="G8" s="90"/>
      <c r="H8" s="91"/>
      <c r="I8" s="90"/>
      <c r="J8" s="90"/>
      <c r="K8" s="90"/>
      <c r="L8" s="91"/>
      <c r="M8" s="90"/>
      <c r="N8" s="90"/>
      <c r="O8" s="90"/>
      <c r="P8" s="91"/>
      <c r="Q8" s="90"/>
      <c r="R8" s="224"/>
    </row>
    <row r="9" spans="1:18" x14ac:dyDescent="0.2">
      <c r="A9" s="86"/>
      <c r="B9" s="89" t="s">
        <v>17</v>
      </c>
      <c r="C9" s="64">
        <f t="shared" si="0"/>
        <v>0</v>
      </c>
      <c r="D9" s="64">
        <f t="shared" si="0"/>
        <v>0</v>
      </c>
      <c r="E9" s="64">
        <f t="shared" si="0"/>
        <v>0</v>
      </c>
      <c r="F9" s="64">
        <f t="shared" si="0"/>
        <v>0</v>
      </c>
      <c r="G9" s="90"/>
      <c r="H9" s="91"/>
      <c r="I9" s="90"/>
      <c r="J9" s="90"/>
      <c r="K9" s="90"/>
      <c r="L9" s="91"/>
      <c r="M9" s="90"/>
      <c r="N9" s="90"/>
      <c r="O9" s="90"/>
      <c r="P9" s="91"/>
      <c r="Q9" s="90"/>
      <c r="R9" s="224"/>
    </row>
    <row r="10" spans="1:18" x14ac:dyDescent="0.2">
      <c r="A10" s="86"/>
      <c r="B10" s="89" t="s">
        <v>15</v>
      </c>
      <c r="C10" s="64">
        <f t="shared" si="0"/>
        <v>1</v>
      </c>
      <c r="D10" s="64">
        <f t="shared" si="0"/>
        <v>260000</v>
      </c>
      <c r="E10" s="64">
        <f t="shared" si="0"/>
        <v>0</v>
      </c>
      <c r="F10" s="64">
        <f t="shared" si="0"/>
        <v>0</v>
      </c>
      <c r="G10" s="90">
        <v>1</v>
      </c>
      <c r="H10" s="91">
        <v>260000</v>
      </c>
      <c r="I10" s="90"/>
      <c r="J10" s="90"/>
      <c r="K10" s="90"/>
      <c r="L10" s="91"/>
      <c r="M10" s="90"/>
      <c r="N10" s="90"/>
      <c r="O10" s="90"/>
      <c r="P10" s="91"/>
      <c r="Q10" s="90"/>
      <c r="R10" s="224"/>
    </row>
    <row r="11" spans="1:18" ht="13.5" thickBot="1" x14ac:dyDescent="0.25">
      <c r="A11" s="225"/>
      <c r="B11" s="159" t="s">
        <v>16</v>
      </c>
      <c r="C11" s="239">
        <f t="shared" si="0"/>
        <v>1</v>
      </c>
      <c r="D11" s="239">
        <f t="shared" si="0"/>
        <v>200000</v>
      </c>
      <c r="E11" s="239">
        <f t="shared" si="0"/>
        <v>0</v>
      </c>
      <c r="F11" s="239">
        <f t="shared" si="0"/>
        <v>0</v>
      </c>
      <c r="G11" s="230">
        <v>1</v>
      </c>
      <c r="H11" s="231">
        <v>200000</v>
      </c>
      <c r="I11" s="230"/>
      <c r="J11" s="230"/>
      <c r="K11" s="230"/>
      <c r="L11" s="231"/>
      <c r="M11" s="230"/>
      <c r="N11" s="230"/>
      <c r="O11" s="230"/>
      <c r="P11" s="231"/>
      <c r="Q11" s="230"/>
      <c r="R11" s="228"/>
    </row>
    <row r="12" spans="1:18" s="9" customFormat="1" ht="13.5" thickBot="1" x14ac:dyDescent="0.25">
      <c r="A12" s="232"/>
      <c r="B12" s="233" t="s">
        <v>155</v>
      </c>
      <c r="C12" s="107">
        <f>SUM(C6:C11)</f>
        <v>2</v>
      </c>
      <c r="D12" s="107">
        <f>SUM(D6:D11)</f>
        <v>460000</v>
      </c>
      <c r="E12" s="107">
        <f>SUM(E6:E11)</f>
        <v>0</v>
      </c>
      <c r="F12" s="107">
        <f>SUM(F6:F11)</f>
        <v>0</v>
      </c>
      <c r="G12" s="107">
        <f t="shared" ref="G12:R12" si="1">SUM(G7:G11)</f>
        <v>2</v>
      </c>
      <c r="H12" s="107">
        <f t="shared" si="1"/>
        <v>460000</v>
      </c>
      <c r="I12" s="107">
        <f t="shared" si="1"/>
        <v>0</v>
      </c>
      <c r="J12" s="107">
        <f t="shared" si="1"/>
        <v>0</v>
      </c>
      <c r="K12" s="107">
        <f t="shared" si="1"/>
        <v>0</v>
      </c>
      <c r="L12" s="107">
        <f t="shared" si="1"/>
        <v>0</v>
      </c>
      <c r="M12" s="107">
        <f t="shared" si="1"/>
        <v>0</v>
      </c>
      <c r="N12" s="107">
        <f t="shared" si="1"/>
        <v>0</v>
      </c>
      <c r="O12" s="107">
        <f t="shared" si="1"/>
        <v>0</v>
      </c>
      <c r="P12" s="107">
        <f t="shared" si="1"/>
        <v>0</v>
      </c>
      <c r="Q12" s="107">
        <f t="shared" si="1"/>
        <v>0</v>
      </c>
      <c r="R12" s="107">
        <f t="shared" si="1"/>
        <v>0</v>
      </c>
    </row>
    <row r="13" spans="1:18" s="52" customFormat="1" x14ac:dyDescent="0.2">
      <c r="A13" s="175" t="s">
        <v>5</v>
      </c>
      <c r="B13" s="176" t="s">
        <v>89</v>
      </c>
      <c r="C13" s="213"/>
      <c r="D13" s="213"/>
      <c r="E13" s="213"/>
      <c r="F13" s="213"/>
      <c r="G13" s="177"/>
      <c r="H13" s="178"/>
      <c r="I13" s="177"/>
      <c r="J13" s="177"/>
      <c r="K13" s="177"/>
      <c r="L13" s="178"/>
      <c r="M13" s="177"/>
      <c r="N13" s="177"/>
      <c r="O13" s="177"/>
      <c r="P13" s="178"/>
      <c r="Q13" s="177"/>
      <c r="R13" s="179"/>
    </row>
    <row r="14" spans="1:18" s="52" customFormat="1" ht="15" x14ac:dyDescent="0.25">
      <c r="A14" s="25"/>
      <c r="B14" s="209" t="s">
        <v>19</v>
      </c>
      <c r="C14" s="64">
        <f>G14+K14+O14</f>
        <v>20</v>
      </c>
      <c r="D14" s="64">
        <f>H14+L14+P14</f>
        <v>60000</v>
      </c>
      <c r="E14" s="64">
        <f t="shared" ref="E14:E47" si="2">I14+M14+Q14</f>
        <v>0</v>
      </c>
      <c r="F14" s="64">
        <f t="shared" ref="F14:F47" si="3">J14+N14+R14</f>
        <v>0</v>
      </c>
      <c r="G14" s="47">
        <v>10</v>
      </c>
      <c r="H14" s="119">
        <f>G14*3000</f>
        <v>30000</v>
      </c>
      <c r="I14" s="54"/>
      <c r="J14" s="54"/>
      <c r="K14" s="47">
        <v>5</v>
      </c>
      <c r="L14" s="119">
        <f>K14*3000</f>
        <v>15000</v>
      </c>
      <c r="M14" s="54"/>
      <c r="N14" s="54"/>
      <c r="O14" s="47">
        <v>5</v>
      </c>
      <c r="P14" s="119">
        <f>O14*3000</f>
        <v>15000</v>
      </c>
      <c r="Q14" s="54"/>
      <c r="R14" s="180"/>
    </row>
    <row r="15" spans="1:18" s="52" customFormat="1" x14ac:dyDescent="0.2">
      <c r="A15" s="25"/>
      <c r="B15" s="209" t="s">
        <v>20</v>
      </c>
      <c r="C15" s="64">
        <f t="shared" ref="C15:C47" si="4">G15+K15+O15</f>
        <v>1</v>
      </c>
      <c r="D15" s="64">
        <f t="shared" ref="D15:D47" si="5">H15+L15+P15</f>
        <v>11000</v>
      </c>
      <c r="E15" s="64">
        <f t="shared" si="2"/>
        <v>0</v>
      </c>
      <c r="F15" s="64">
        <f t="shared" si="3"/>
        <v>0</v>
      </c>
      <c r="G15" s="54">
        <v>1</v>
      </c>
      <c r="H15" s="119">
        <v>11000</v>
      </c>
      <c r="I15" s="54"/>
      <c r="J15" s="54"/>
      <c r="K15" s="54"/>
      <c r="L15" s="119"/>
      <c r="M15" s="54"/>
      <c r="N15" s="54"/>
      <c r="O15" s="54"/>
      <c r="P15" s="119"/>
      <c r="Q15" s="54"/>
      <c r="R15" s="180"/>
    </row>
    <row r="16" spans="1:18" s="52" customFormat="1" ht="15" x14ac:dyDescent="0.25">
      <c r="A16" s="25"/>
      <c r="B16" s="318" t="s">
        <v>21</v>
      </c>
      <c r="C16" s="64">
        <f>G16+K16+O16</f>
        <v>11</v>
      </c>
      <c r="D16" s="64">
        <f t="shared" ref="D16" si="6">H16+L16+P16</f>
        <v>49500</v>
      </c>
      <c r="E16" s="64">
        <f t="shared" ref="E16" si="7">I16+M16+Q16</f>
        <v>0</v>
      </c>
      <c r="F16" s="64">
        <f t="shared" ref="F16" si="8">J16+N16+R16</f>
        <v>0</v>
      </c>
      <c r="G16" s="47">
        <v>5</v>
      </c>
      <c r="H16" s="119">
        <f>G16*4500</f>
        <v>22500</v>
      </c>
      <c r="I16" s="54"/>
      <c r="J16" s="54"/>
      <c r="K16" s="54">
        <v>3</v>
      </c>
      <c r="L16" s="119">
        <f>K16*4500</f>
        <v>13500</v>
      </c>
      <c r="M16" s="54"/>
      <c r="N16" s="54"/>
      <c r="O16" s="54">
        <v>3</v>
      </c>
      <c r="P16" s="119">
        <f>O16*4500</f>
        <v>13500</v>
      </c>
      <c r="Q16" s="54"/>
      <c r="R16" s="180"/>
    </row>
    <row r="17" spans="1:18" s="52" customFormat="1" x14ac:dyDescent="0.2">
      <c r="A17" s="25"/>
      <c r="B17" s="318" t="s">
        <v>23</v>
      </c>
      <c r="C17" s="64">
        <f>G17+K17+O17</f>
        <v>0</v>
      </c>
      <c r="D17" s="64">
        <f t="shared" si="5"/>
        <v>0</v>
      </c>
      <c r="E17" s="64">
        <f t="shared" si="2"/>
        <v>0</v>
      </c>
      <c r="F17" s="64">
        <f t="shared" si="3"/>
        <v>0</v>
      </c>
      <c r="G17" s="54"/>
      <c r="H17" s="119"/>
      <c r="I17" s="54"/>
      <c r="J17" s="54"/>
      <c r="K17" s="54"/>
      <c r="L17" s="119"/>
      <c r="M17" s="54"/>
      <c r="N17" s="54"/>
      <c r="O17" s="54"/>
      <c r="P17" s="119"/>
      <c r="Q17" s="54"/>
      <c r="R17" s="180"/>
    </row>
    <row r="18" spans="1:18" s="38" customFormat="1" x14ac:dyDescent="0.2">
      <c r="A18" s="25"/>
      <c r="B18" s="318" t="s">
        <v>24</v>
      </c>
      <c r="C18" s="64">
        <f t="shared" si="4"/>
        <v>0</v>
      </c>
      <c r="D18" s="64">
        <f t="shared" si="5"/>
        <v>0</v>
      </c>
      <c r="E18" s="64">
        <f t="shared" si="2"/>
        <v>0</v>
      </c>
      <c r="F18" s="64">
        <f t="shared" si="3"/>
        <v>0</v>
      </c>
      <c r="G18" s="54"/>
      <c r="H18" s="119"/>
      <c r="I18" s="54"/>
      <c r="J18" s="54"/>
      <c r="K18" s="54"/>
      <c r="L18" s="119"/>
      <c r="M18" s="54"/>
      <c r="N18" s="54"/>
      <c r="O18" s="54"/>
      <c r="P18" s="119"/>
      <c r="Q18" s="54"/>
      <c r="R18" s="180"/>
    </row>
    <row r="19" spans="1:18" s="38" customFormat="1" x14ac:dyDescent="0.2">
      <c r="A19" s="25"/>
      <c r="B19" s="48" t="s">
        <v>25</v>
      </c>
      <c r="C19" s="64">
        <f t="shared" si="4"/>
        <v>0</v>
      </c>
      <c r="D19" s="64">
        <f t="shared" si="5"/>
        <v>0</v>
      </c>
      <c r="E19" s="64">
        <f t="shared" si="2"/>
        <v>0</v>
      </c>
      <c r="F19" s="64">
        <f t="shared" si="3"/>
        <v>0</v>
      </c>
      <c r="G19" s="54"/>
      <c r="H19" s="119"/>
      <c r="I19" s="54"/>
      <c r="J19" s="54"/>
      <c r="K19" s="54"/>
      <c r="L19" s="119"/>
      <c r="M19" s="54"/>
      <c r="N19" s="54"/>
      <c r="O19" s="54"/>
      <c r="P19" s="119"/>
      <c r="Q19" s="54"/>
      <c r="R19" s="180"/>
    </row>
    <row r="20" spans="1:18" s="38" customFormat="1" x14ac:dyDescent="0.2">
      <c r="A20" s="25"/>
      <c r="B20" s="209" t="s">
        <v>26</v>
      </c>
      <c r="C20" s="64">
        <f t="shared" si="4"/>
        <v>0</v>
      </c>
      <c r="D20" s="64">
        <f t="shared" si="5"/>
        <v>0</v>
      </c>
      <c r="E20" s="64">
        <f t="shared" si="2"/>
        <v>0</v>
      </c>
      <c r="F20" s="64">
        <f t="shared" si="3"/>
        <v>0</v>
      </c>
      <c r="G20" s="54"/>
      <c r="H20" s="119"/>
      <c r="I20" s="54"/>
      <c r="J20" s="54"/>
      <c r="K20" s="54"/>
      <c r="L20" s="119"/>
      <c r="M20" s="54"/>
      <c r="N20" s="54"/>
      <c r="O20" s="54"/>
      <c r="P20" s="119"/>
      <c r="Q20" s="54"/>
      <c r="R20" s="180"/>
    </row>
    <row r="21" spans="1:18" s="38" customFormat="1" x14ac:dyDescent="0.2">
      <c r="A21" s="25"/>
      <c r="B21" s="209" t="s">
        <v>27</v>
      </c>
      <c r="C21" s="64">
        <f t="shared" si="4"/>
        <v>0</v>
      </c>
      <c r="D21" s="64">
        <f t="shared" si="5"/>
        <v>0</v>
      </c>
      <c r="E21" s="64">
        <f t="shared" si="2"/>
        <v>0</v>
      </c>
      <c r="F21" s="64">
        <f t="shared" si="3"/>
        <v>0</v>
      </c>
      <c r="G21" s="54"/>
      <c r="H21" s="119"/>
      <c r="I21" s="54"/>
      <c r="J21" s="54"/>
      <c r="K21" s="54"/>
      <c r="L21" s="119"/>
      <c r="M21" s="54"/>
      <c r="N21" s="54"/>
      <c r="O21" s="54"/>
      <c r="P21" s="119"/>
      <c r="Q21" s="54"/>
      <c r="R21" s="180"/>
    </row>
    <row r="22" spans="1:18" s="38" customFormat="1" x14ac:dyDescent="0.2">
      <c r="A22" s="25"/>
      <c r="B22" s="48" t="s">
        <v>28</v>
      </c>
      <c r="C22" s="64">
        <f t="shared" si="4"/>
        <v>0</v>
      </c>
      <c r="D22" s="64">
        <f t="shared" si="5"/>
        <v>0</v>
      </c>
      <c r="E22" s="64">
        <f t="shared" si="2"/>
        <v>0</v>
      </c>
      <c r="F22" s="64">
        <f t="shared" si="3"/>
        <v>0</v>
      </c>
      <c r="G22" s="54"/>
      <c r="H22" s="119"/>
      <c r="I22" s="54"/>
      <c r="J22" s="54"/>
      <c r="K22" s="54"/>
      <c r="L22" s="119"/>
      <c r="M22" s="54"/>
      <c r="N22" s="54"/>
      <c r="O22" s="54"/>
      <c r="P22" s="119"/>
      <c r="Q22" s="54"/>
      <c r="R22" s="180"/>
    </row>
    <row r="23" spans="1:18" s="38" customFormat="1" x14ac:dyDescent="0.2">
      <c r="A23" s="25"/>
      <c r="B23" s="48" t="s">
        <v>29</v>
      </c>
      <c r="C23" s="64">
        <f t="shared" si="4"/>
        <v>0</v>
      </c>
      <c r="D23" s="64">
        <f t="shared" si="5"/>
        <v>0</v>
      </c>
      <c r="E23" s="64">
        <f t="shared" si="2"/>
        <v>0</v>
      </c>
      <c r="F23" s="64">
        <f t="shared" si="3"/>
        <v>0</v>
      </c>
      <c r="G23" s="54"/>
      <c r="H23" s="119"/>
      <c r="I23" s="54"/>
      <c r="J23" s="54"/>
      <c r="K23" s="54"/>
      <c r="L23" s="119"/>
      <c r="M23" s="54"/>
      <c r="N23" s="54"/>
      <c r="O23" s="54"/>
      <c r="P23" s="119"/>
      <c r="Q23" s="54"/>
      <c r="R23" s="180"/>
    </row>
    <row r="24" spans="1:18" s="38" customFormat="1" ht="15" x14ac:dyDescent="0.25">
      <c r="A24" s="25"/>
      <c r="B24" s="48" t="s">
        <v>30</v>
      </c>
      <c r="C24" s="64">
        <f t="shared" si="4"/>
        <v>11</v>
      </c>
      <c r="D24" s="64">
        <f t="shared" si="5"/>
        <v>33000</v>
      </c>
      <c r="E24" s="64">
        <f t="shared" si="2"/>
        <v>0</v>
      </c>
      <c r="F24" s="64">
        <f t="shared" si="3"/>
        <v>0</v>
      </c>
      <c r="G24" s="47">
        <v>5</v>
      </c>
      <c r="H24" s="119">
        <f>G24*3000</f>
        <v>15000</v>
      </c>
      <c r="I24" s="54"/>
      <c r="J24" s="54"/>
      <c r="K24" s="47">
        <v>3</v>
      </c>
      <c r="L24" s="119">
        <f>K24*3000</f>
        <v>9000</v>
      </c>
      <c r="M24" s="54"/>
      <c r="N24" s="54"/>
      <c r="O24" s="47">
        <v>3</v>
      </c>
      <c r="P24" s="119">
        <f>O24*3000</f>
        <v>9000</v>
      </c>
      <c r="Q24" s="54"/>
      <c r="R24" s="180"/>
    </row>
    <row r="25" spans="1:18" s="38" customFormat="1" x14ac:dyDescent="0.2">
      <c r="A25" s="25"/>
      <c r="B25" s="48" t="s">
        <v>31</v>
      </c>
      <c r="C25" s="64">
        <f t="shared" si="4"/>
        <v>0</v>
      </c>
      <c r="D25" s="64">
        <f t="shared" si="5"/>
        <v>0</v>
      </c>
      <c r="E25" s="64">
        <f t="shared" si="2"/>
        <v>0</v>
      </c>
      <c r="F25" s="64">
        <f t="shared" si="3"/>
        <v>0</v>
      </c>
      <c r="G25" s="54"/>
      <c r="H25" s="119"/>
      <c r="I25" s="54"/>
      <c r="J25" s="54"/>
      <c r="K25" s="54"/>
      <c r="L25" s="119"/>
      <c r="M25" s="54"/>
      <c r="N25" s="54"/>
      <c r="O25" s="54"/>
      <c r="P25" s="119"/>
      <c r="Q25" s="54"/>
      <c r="R25" s="180"/>
    </row>
    <row r="26" spans="1:18" s="38" customFormat="1" x14ac:dyDescent="0.2">
      <c r="A26" s="25"/>
      <c r="B26" s="209" t="s">
        <v>32</v>
      </c>
      <c r="C26" s="64">
        <f t="shared" si="4"/>
        <v>0</v>
      </c>
      <c r="D26" s="64">
        <f t="shared" si="5"/>
        <v>0</v>
      </c>
      <c r="E26" s="64">
        <f t="shared" si="2"/>
        <v>0</v>
      </c>
      <c r="F26" s="64">
        <f t="shared" si="3"/>
        <v>0</v>
      </c>
      <c r="G26" s="54"/>
      <c r="H26" s="119"/>
      <c r="I26" s="54"/>
      <c r="J26" s="54"/>
      <c r="K26" s="54"/>
      <c r="L26" s="119"/>
      <c r="M26" s="54"/>
      <c r="N26" s="54"/>
      <c r="O26" s="54"/>
      <c r="P26" s="119"/>
      <c r="Q26" s="54"/>
      <c r="R26" s="180"/>
    </row>
    <row r="27" spans="1:18" s="38" customFormat="1" ht="15" x14ac:dyDescent="0.25">
      <c r="A27" s="25"/>
      <c r="B27" s="209" t="s">
        <v>33</v>
      </c>
      <c r="C27" s="64">
        <f t="shared" si="4"/>
        <v>45</v>
      </c>
      <c r="D27" s="64">
        <f t="shared" si="5"/>
        <v>112500</v>
      </c>
      <c r="E27" s="64">
        <f t="shared" si="2"/>
        <v>0</v>
      </c>
      <c r="F27" s="64">
        <f t="shared" si="3"/>
        <v>0</v>
      </c>
      <c r="G27" s="47">
        <v>20</v>
      </c>
      <c r="H27" s="119">
        <f>G27*2500</f>
        <v>50000</v>
      </c>
      <c r="I27" s="54"/>
      <c r="J27" s="54"/>
      <c r="K27" s="47">
        <v>10</v>
      </c>
      <c r="L27" s="119">
        <f>K27*2500</f>
        <v>25000</v>
      </c>
      <c r="M27" s="54"/>
      <c r="N27" s="54"/>
      <c r="O27" s="47">
        <v>15</v>
      </c>
      <c r="P27" s="119">
        <f>O27*2500</f>
        <v>37500</v>
      </c>
      <c r="Q27" s="54"/>
      <c r="R27" s="180"/>
    </row>
    <row r="28" spans="1:18" s="38" customFormat="1" x14ac:dyDescent="0.2">
      <c r="A28" s="25"/>
      <c r="B28" s="209" t="s">
        <v>35</v>
      </c>
      <c r="C28" s="64">
        <f t="shared" si="4"/>
        <v>0</v>
      </c>
      <c r="D28" s="64">
        <f t="shared" si="5"/>
        <v>0</v>
      </c>
      <c r="E28" s="64">
        <f t="shared" si="2"/>
        <v>0</v>
      </c>
      <c r="F28" s="64">
        <f t="shared" si="3"/>
        <v>0</v>
      </c>
      <c r="G28" s="54"/>
      <c r="H28" s="119"/>
      <c r="I28" s="54"/>
      <c r="J28" s="54"/>
      <c r="K28" s="54"/>
      <c r="L28" s="119"/>
      <c r="M28" s="54"/>
      <c r="N28" s="54"/>
      <c r="O28" s="54"/>
      <c r="P28" s="119"/>
      <c r="Q28" s="54"/>
      <c r="R28" s="180"/>
    </row>
    <row r="29" spans="1:18" s="38" customFormat="1" ht="15" x14ac:dyDescent="0.25">
      <c r="A29" s="25"/>
      <c r="B29" s="209" t="s">
        <v>36</v>
      </c>
      <c r="C29" s="64">
        <f t="shared" si="4"/>
        <v>4</v>
      </c>
      <c r="D29" s="64">
        <f t="shared" si="5"/>
        <v>20000</v>
      </c>
      <c r="E29" s="64">
        <f t="shared" si="2"/>
        <v>0</v>
      </c>
      <c r="F29" s="64">
        <f t="shared" si="3"/>
        <v>0</v>
      </c>
      <c r="G29" s="47">
        <v>2</v>
      </c>
      <c r="H29" s="119">
        <f>G29*5000</f>
        <v>10000</v>
      </c>
      <c r="I29" s="54"/>
      <c r="J29" s="54"/>
      <c r="K29" s="54">
        <v>1</v>
      </c>
      <c r="L29" s="119">
        <f>K29*5000</f>
        <v>5000</v>
      </c>
      <c r="M29" s="54"/>
      <c r="N29" s="54"/>
      <c r="O29" s="54">
        <v>1</v>
      </c>
      <c r="P29" s="119">
        <f>O29*5000</f>
        <v>5000</v>
      </c>
      <c r="Q29" s="54"/>
      <c r="R29" s="180"/>
    </row>
    <row r="30" spans="1:18" s="38" customFormat="1" ht="15" x14ac:dyDescent="0.25">
      <c r="A30" s="25"/>
      <c r="B30" s="209" t="s">
        <v>37</v>
      </c>
      <c r="C30" s="64">
        <f t="shared" si="4"/>
        <v>14</v>
      </c>
      <c r="D30" s="64">
        <f t="shared" si="5"/>
        <v>42000</v>
      </c>
      <c r="E30" s="64">
        <f t="shared" si="2"/>
        <v>0</v>
      </c>
      <c r="F30" s="64">
        <f t="shared" si="3"/>
        <v>0</v>
      </c>
      <c r="G30" s="47">
        <v>6</v>
      </c>
      <c r="H30" s="119">
        <f>G30*3000</f>
        <v>18000</v>
      </c>
      <c r="I30" s="54"/>
      <c r="J30" s="54"/>
      <c r="K30" s="47">
        <v>4</v>
      </c>
      <c r="L30" s="119">
        <f>K30*3000</f>
        <v>12000</v>
      </c>
      <c r="M30" s="54"/>
      <c r="N30" s="54"/>
      <c r="O30" s="47">
        <v>4</v>
      </c>
      <c r="P30" s="119">
        <f>O30*3000</f>
        <v>12000</v>
      </c>
      <c r="Q30" s="54"/>
      <c r="R30" s="180"/>
    </row>
    <row r="31" spans="1:18" s="38" customFormat="1" ht="15" x14ac:dyDescent="0.25">
      <c r="A31" s="25"/>
      <c r="B31" s="48" t="s">
        <v>38</v>
      </c>
      <c r="C31" s="64">
        <f t="shared" si="4"/>
        <v>14</v>
      </c>
      <c r="D31" s="64">
        <f t="shared" si="5"/>
        <v>35000</v>
      </c>
      <c r="E31" s="64">
        <f t="shared" si="2"/>
        <v>0</v>
      </c>
      <c r="F31" s="64">
        <f t="shared" si="3"/>
        <v>0</v>
      </c>
      <c r="G31" s="47">
        <v>6</v>
      </c>
      <c r="H31" s="119">
        <f>G31*2500</f>
        <v>15000</v>
      </c>
      <c r="I31" s="54"/>
      <c r="J31" s="54"/>
      <c r="K31" s="47">
        <v>4</v>
      </c>
      <c r="L31" s="119">
        <f>K31*2500</f>
        <v>10000</v>
      </c>
      <c r="M31" s="54"/>
      <c r="N31" s="54"/>
      <c r="O31" s="47">
        <v>4</v>
      </c>
      <c r="P31" s="119">
        <f>O31*2500</f>
        <v>10000</v>
      </c>
      <c r="Q31" s="54"/>
      <c r="R31" s="180"/>
    </row>
    <row r="32" spans="1:18" s="38" customFormat="1" x14ac:dyDescent="0.2">
      <c r="A32" s="25"/>
      <c r="B32" s="209" t="s">
        <v>39</v>
      </c>
      <c r="C32" s="64">
        <f t="shared" si="4"/>
        <v>0</v>
      </c>
      <c r="D32" s="64">
        <f t="shared" si="5"/>
        <v>0</v>
      </c>
      <c r="E32" s="64">
        <f t="shared" si="2"/>
        <v>0</v>
      </c>
      <c r="F32" s="64">
        <f t="shared" si="3"/>
        <v>0</v>
      </c>
      <c r="G32" s="54"/>
      <c r="H32" s="119"/>
      <c r="I32" s="54"/>
      <c r="J32" s="54"/>
      <c r="K32" s="54"/>
      <c r="L32" s="119"/>
      <c r="M32" s="54"/>
      <c r="N32" s="54"/>
      <c r="O32" s="54"/>
      <c r="P32" s="119"/>
      <c r="Q32" s="54"/>
      <c r="R32" s="180"/>
    </row>
    <row r="33" spans="1:18" s="38" customFormat="1" x14ac:dyDescent="0.2">
      <c r="A33" s="25"/>
      <c r="B33" s="209" t="s">
        <v>40</v>
      </c>
      <c r="C33" s="64">
        <f t="shared" si="4"/>
        <v>0</v>
      </c>
      <c r="D33" s="64">
        <f t="shared" si="5"/>
        <v>0</v>
      </c>
      <c r="E33" s="64">
        <f t="shared" si="2"/>
        <v>0</v>
      </c>
      <c r="F33" s="64">
        <f t="shared" si="3"/>
        <v>0</v>
      </c>
      <c r="G33" s="54"/>
      <c r="H33" s="119"/>
      <c r="I33" s="54"/>
      <c r="J33" s="54"/>
      <c r="K33" s="54"/>
      <c r="L33" s="119"/>
      <c r="M33" s="54"/>
      <c r="N33" s="54"/>
      <c r="O33" s="54"/>
      <c r="P33" s="119"/>
      <c r="Q33" s="54"/>
      <c r="R33" s="180"/>
    </row>
    <row r="34" spans="1:18" s="38" customFormat="1" x14ac:dyDescent="0.2">
      <c r="A34" s="25"/>
      <c r="B34" s="209" t="s">
        <v>41</v>
      </c>
      <c r="C34" s="64">
        <f t="shared" si="4"/>
        <v>0</v>
      </c>
      <c r="D34" s="64">
        <f t="shared" si="5"/>
        <v>0</v>
      </c>
      <c r="E34" s="64">
        <f t="shared" si="2"/>
        <v>0</v>
      </c>
      <c r="F34" s="64">
        <f t="shared" si="3"/>
        <v>0</v>
      </c>
      <c r="G34" s="54"/>
      <c r="H34" s="119"/>
      <c r="I34" s="54"/>
      <c r="J34" s="54"/>
      <c r="K34" s="54"/>
      <c r="L34" s="119"/>
      <c r="M34" s="54"/>
      <c r="N34" s="54"/>
      <c r="O34" s="54"/>
      <c r="P34" s="119"/>
      <c r="Q34" s="54"/>
      <c r="R34" s="180"/>
    </row>
    <row r="35" spans="1:18" s="38" customFormat="1" x14ac:dyDescent="0.2">
      <c r="A35" s="25"/>
      <c r="B35" s="209" t="s">
        <v>42</v>
      </c>
      <c r="C35" s="64">
        <f t="shared" si="4"/>
        <v>0</v>
      </c>
      <c r="D35" s="64">
        <f t="shared" si="5"/>
        <v>0</v>
      </c>
      <c r="E35" s="64">
        <f t="shared" si="2"/>
        <v>0</v>
      </c>
      <c r="F35" s="64">
        <f t="shared" si="3"/>
        <v>0</v>
      </c>
      <c r="G35" s="54"/>
      <c r="H35" s="119"/>
      <c r="I35" s="54"/>
      <c r="J35" s="54"/>
      <c r="K35" s="54"/>
      <c r="L35" s="119"/>
      <c r="M35" s="54"/>
      <c r="N35" s="54"/>
      <c r="O35" s="54"/>
      <c r="P35" s="119"/>
      <c r="Q35" s="54"/>
      <c r="R35" s="180"/>
    </row>
    <row r="36" spans="1:18" s="38" customFormat="1" x14ac:dyDescent="0.2">
      <c r="A36" s="25"/>
      <c r="B36" s="48" t="s">
        <v>43</v>
      </c>
      <c r="C36" s="64">
        <f t="shared" si="4"/>
        <v>0</v>
      </c>
      <c r="D36" s="64">
        <f t="shared" si="5"/>
        <v>0</v>
      </c>
      <c r="E36" s="64">
        <f t="shared" si="2"/>
        <v>0</v>
      </c>
      <c r="F36" s="64">
        <f t="shared" si="3"/>
        <v>0</v>
      </c>
      <c r="G36" s="54"/>
      <c r="H36" s="119">
        <f>G36*1200</f>
        <v>0</v>
      </c>
      <c r="I36" s="54"/>
      <c r="J36" s="54"/>
      <c r="K36" s="54"/>
      <c r="L36" s="119">
        <f>K36*1200</f>
        <v>0</v>
      </c>
      <c r="M36" s="54"/>
      <c r="N36" s="54"/>
      <c r="O36" s="54"/>
      <c r="P36" s="119">
        <f>O36*1200</f>
        <v>0</v>
      </c>
      <c r="Q36" s="54"/>
      <c r="R36" s="180"/>
    </row>
    <row r="37" spans="1:18" s="38" customFormat="1" ht="15" x14ac:dyDescent="0.25">
      <c r="A37" s="25"/>
      <c r="B37" s="48" t="s">
        <v>44</v>
      </c>
      <c r="C37" s="64">
        <f t="shared" si="4"/>
        <v>6</v>
      </c>
      <c r="D37" s="64">
        <f t="shared" si="5"/>
        <v>12000</v>
      </c>
      <c r="E37" s="64">
        <f t="shared" si="2"/>
        <v>0</v>
      </c>
      <c r="F37" s="64">
        <f t="shared" si="3"/>
        <v>0</v>
      </c>
      <c r="G37" s="47">
        <v>2</v>
      </c>
      <c r="H37" s="119">
        <f>G37*2000</f>
        <v>4000</v>
      </c>
      <c r="I37" s="54"/>
      <c r="J37" s="54"/>
      <c r="K37" s="47">
        <v>2</v>
      </c>
      <c r="L37" s="119">
        <f>K37*2000</f>
        <v>4000</v>
      </c>
      <c r="M37" s="54"/>
      <c r="N37" s="54"/>
      <c r="O37" s="47">
        <v>2</v>
      </c>
      <c r="P37" s="119">
        <f>O37*2000</f>
        <v>4000</v>
      </c>
      <c r="Q37" s="54"/>
      <c r="R37" s="180"/>
    </row>
    <row r="38" spans="1:18" s="38" customFormat="1" ht="15" x14ac:dyDescent="0.25">
      <c r="A38" s="25"/>
      <c r="B38" s="48" t="s">
        <v>45</v>
      </c>
      <c r="C38" s="64">
        <f t="shared" si="4"/>
        <v>9</v>
      </c>
      <c r="D38" s="64">
        <f t="shared" si="5"/>
        <v>67500</v>
      </c>
      <c r="E38" s="64">
        <f t="shared" si="2"/>
        <v>0</v>
      </c>
      <c r="F38" s="64">
        <f t="shared" si="3"/>
        <v>0</v>
      </c>
      <c r="G38" s="47">
        <v>4</v>
      </c>
      <c r="H38" s="119">
        <f>G38*7500</f>
        <v>30000</v>
      </c>
      <c r="I38" s="54"/>
      <c r="J38" s="54"/>
      <c r="K38" s="47">
        <v>2</v>
      </c>
      <c r="L38" s="119">
        <f>K38*7500</f>
        <v>15000</v>
      </c>
      <c r="M38" s="54"/>
      <c r="N38" s="54"/>
      <c r="O38" s="47">
        <v>3</v>
      </c>
      <c r="P38" s="119">
        <f>O38*7500</f>
        <v>22500</v>
      </c>
      <c r="Q38" s="54"/>
      <c r="R38" s="180"/>
    </row>
    <row r="39" spans="1:18" s="38" customFormat="1" x14ac:dyDescent="0.2">
      <c r="A39" s="25"/>
      <c r="B39" s="48" t="s">
        <v>46</v>
      </c>
      <c r="C39" s="64">
        <f t="shared" si="4"/>
        <v>0</v>
      </c>
      <c r="D39" s="64">
        <f t="shared" si="5"/>
        <v>0</v>
      </c>
      <c r="E39" s="64">
        <f t="shared" si="2"/>
        <v>0</v>
      </c>
      <c r="F39" s="64">
        <f t="shared" si="3"/>
        <v>0</v>
      </c>
      <c r="G39" s="54"/>
      <c r="H39" s="119">
        <f>G39*9000</f>
        <v>0</v>
      </c>
      <c r="I39" s="54"/>
      <c r="J39" s="54"/>
      <c r="K39" s="54"/>
      <c r="L39" s="119">
        <f>K39*9000</f>
        <v>0</v>
      </c>
      <c r="M39" s="54"/>
      <c r="N39" s="54"/>
      <c r="O39" s="54"/>
      <c r="P39" s="119">
        <f>O39*9000</f>
        <v>0</v>
      </c>
      <c r="Q39" s="54"/>
      <c r="R39" s="180"/>
    </row>
    <row r="40" spans="1:18" s="38" customFormat="1" x14ac:dyDescent="0.2">
      <c r="A40" s="25"/>
      <c r="B40" s="209" t="s">
        <v>47</v>
      </c>
      <c r="C40" s="64">
        <f t="shared" si="4"/>
        <v>0</v>
      </c>
      <c r="D40" s="64">
        <f t="shared" si="5"/>
        <v>0</v>
      </c>
      <c r="E40" s="64">
        <f t="shared" si="2"/>
        <v>0</v>
      </c>
      <c r="F40" s="64">
        <f t="shared" si="3"/>
        <v>0</v>
      </c>
      <c r="G40" s="54"/>
      <c r="H40" s="119"/>
      <c r="I40" s="54"/>
      <c r="J40" s="54"/>
      <c r="K40" s="54"/>
      <c r="L40" s="119"/>
      <c r="M40" s="54"/>
      <c r="N40" s="54"/>
      <c r="O40" s="54"/>
      <c r="P40" s="119"/>
      <c r="Q40" s="54"/>
      <c r="R40" s="180"/>
    </row>
    <row r="41" spans="1:18" s="38" customFormat="1" x14ac:dyDescent="0.2">
      <c r="A41" s="25"/>
      <c r="B41" s="209" t="s">
        <v>48</v>
      </c>
      <c r="C41" s="64">
        <f t="shared" si="4"/>
        <v>0</v>
      </c>
      <c r="D41" s="64">
        <f t="shared" si="5"/>
        <v>0</v>
      </c>
      <c r="E41" s="64">
        <f t="shared" si="2"/>
        <v>0</v>
      </c>
      <c r="F41" s="64">
        <f t="shared" si="3"/>
        <v>0</v>
      </c>
      <c r="G41" s="54"/>
      <c r="H41" s="119"/>
      <c r="I41" s="54"/>
      <c r="J41" s="54"/>
      <c r="K41" s="54"/>
      <c r="L41" s="119"/>
      <c r="M41" s="54"/>
      <c r="N41" s="54"/>
      <c r="O41" s="54"/>
      <c r="P41" s="119"/>
      <c r="Q41" s="54"/>
      <c r="R41" s="180"/>
    </row>
    <row r="42" spans="1:18" s="38" customFormat="1" x14ac:dyDescent="0.2">
      <c r="A42" s="25"/>
      <c r="B42" s="48" t="s">
        <v>49</v>
      </c>
      <c r="C42" s="64">
        <f t="shared" si="4"/>
        <v>0</v>
      </c>
      <c r="D42" s="64">
        <f t="shared" si="5"/>
        <v>0</v>
      </c>
      <c r="E42" s="64">
        <f t="shared" si="2"/>
        <v>0</v>
      </c>
      <c r="F42" s="64">
        <f t="shared" si="3"/>
        <v>0</v>
      </c>
      <c r="G42" s="54"/>
      <c r="H42" s="119"/>
      <c r="I42" s="54"/>
      <c r="J42" s="54"/>
      <c r="K42" s="54"/>
      <c r="L42" s="119"/>
      <c r="M42" s="54"/>
      <c r="N42" s="54"/>
      <c r="O42" s="54"/>
      <c r="P42" s="119"/>
      <c r="Q42" s="54"/>
      <c r="R42" s="180"/>
    </row>
    <row r="43" spans="1:18" s="38" customFormat="1" x14ac:dyDescent="0.2">
      <c r="A43" s="25"/>
      <c r="B43" s="48" t="s">
        <v>50</v>
      </c>
      <c r="C43" s="64">
        <f t="shared" si="4"/>
        <v>0</v>
      </c>
      <c r="D43" s="64">
        <f t="shared" si="5"/>
        <v>0</v>
      </c>
      <c r="E43" s="64">
        <f t="shared" si="2"/>
        <v>0</v>
      </c>
      <c r="F43" s="64">
        <f t="shared" si="3"/>
        <v>0</v>
      </c>
      <c r="G43" s="54"/>
      <c r="H43" s="119"/>
      <c r="I43" s="54"/>
      <c r="J43" s="54"/>
      <c r="K43" s="54"/>
      <c r="L43" s="119"/>
      <c r="M43" s="54"/>
      <c r="N43" s="54"/>
      <c r="O43" s="54"/>
      <c r="P43" s="119"/>
      <c r="Q43" s="54"/>
      <c r="R43" s="180"/>
    </row>
    <row r="44" spans="1:18" s="38" customFormat="1" x14ac:dyDescent="0.2">
      <c r="A44" s="25"/>
      <c r="B44" s="48" t="s">
        <v>51</v>
      </c>
      <c r="C44" s="64">
        <f t="shared" si="4"/>
        <v>0</v>
      </c>
      <c r="D44" s="64">
        <f t="shared" si="5"/>
        <v>0</v>
      </c>
      <c r="E44" s="64">
        <f t="shared" si="2"/>
        <v>0</v>
      </c>
      <c r="F44" s="64">
        <f t="shared" si="3"/>
        <v>0</v>
      </c>
      <c r="G44" s="54"/>
      <c r="H44" s="119"/>
      <c r="I44" s="54"/>
      <c r="J44" s="54"/>
      <c r="K44" s="54"/>
      <c r="L44" s="119"/>
      <c r="M44" s="54"/>
      <c r="N44" s="54"/>
      <c r="O44" s="54"/>
      <c r="P44" s="119"/>
      <c r="Q44" s="54"/>
      <c r="R44" s="180"/>
    </row>
    <row r="45" spans="1:18" s="38" customFormat="1" ht="15" x14ac:dyDescent="0.25">
      <c r="A45" s="25"/>
      <c r="B45" s="48" t="s">
        <v>52</v>
      </c>
      <c r="C45" s="64">
        <f t="shared" si="4"/>
        <v>20</v>
      </c>
      <c r="D45" s="64">
        <f t="shared" si="5"/>
        <v>60000</v>
      </c>
      <c r="E45" s="64">
        <f t="shared" si="2"/>
        <v>0</v>
      </c>
      <c r="F45" s="64">
        <f t="shared" si="3"/>
        <v>0</v>
      </c>
      <c r="G45" s="47">
        <v>8</v>
      </c>
      <c r="H45" s="119">
        <f>G45*3000</f>
        <v>24000</v>
      </c>
      <c r="I45" s="54"/>
      <c r="J45" s="54"/>
      <c r="K45" s="47">
        <v>4</v>
      </c>
      <c r="L45" s="119">
        <f>K45*3000</f>
        <v>12000</v>
      </c>
      <c r="M45" s="54"/>
      <c r="N45" s="54"/>
      <c r="O45" s="47">
        <v>8</v>
      </c>
      <c r="P45" s="119">
        <f>O45*3000</f>
        <v>24000</v>
      </c>
      <c r="Q45" s="54"/>
      <c r="R45" s="180"/>
    </row>
    <row r="46" spans="1:18" s="38" customFormat="1" x14ac:dyDescent="0.2">
      <c r="A46" s="25"/>
      <c r="B46" s="209" t="s">
        <v>53</v>
      </c>
      <c r="C46" s="64">
        <f t="shared" si="4"/>
        <v>0</v>
      </c>
      <c r="D46" s="64">
        <f t="shared" si="5"/>
        <v>0</v>
      </c>
      <c r="E46" s="64">
        <f t="shared" si="2"/>
        <v>0</v>
      </c>
      <c r="F46" s="64">
        <f t="shared" si="3"/>
        <v>0</v>
      </c>
      <c r="G46" s="54"/>
      <c r="H46" s="119">
        <f>G46*3000</f>
        <v>0</v>
      </c>
      <c r="I46" s="54"/>
      <c r="J46" s="54"/>
      <c r="K46" s="54"/>
      <c r="L46" s="119">
        <f>K46*3000</f>
        <v>0</v>
      </c>
      <c r="M46" s="54"/>
      <c r="N46" s="54"/>
      <c r="O46" s="54"/>
      <c r="P46" s="119">
        <f>O46*3000</f>
        <v>0</v>
      </c>
      <c r="Q46" s="54"/>
      <c r="R46" s="180"/>
    </row>
    <row r="47" spans="1:18" s="38" customFormat="1" ht="15.75" thickBot="1" x14ac:dyDescent="0.3">
      <c r="A47" s="187"/>
      <c r="B47" s="188" t="s">
        <v>54</v>
      </c>
      <c r="C47" s="241">
        <f t="shared" si="4"/>
        <v>15</v>
      </c>
      <c r="D47" s="241">
        <f t="shared" si="5"/>
        <v>67500</v>
      </c>
      <c r="E47" s="241">
        <f t="shared" si="2"/>
        <v>0</v>
      </c>
      <c r="F47" s="241">
        <f t="shared" si="3"/>
        <v>0</v>
      </c>
      <c r="G47" s="120">
        <v>6</v>
      </c>
      <c r="H47" s="189">
        <f>G47*4500</f>
        <v>27000</v>
      </c>
      <c r="I47" s="202"/>
      <c r="J47" s="202"/>
      <c r="K47" s="120">
        <v>3</v>
      </c>
      <c r="L47" s="189">
        <f>K47*4500</f>
        <v>13500</v>
      </c>
      <c r="M47" s="202"/>
      <c r="N47" s="202"/>
      <c r="O47" s="120">
        <v>6</v>
      </c>
      <c r="P47" s="189">
        <f>O47*4500</f>
        <v>27000</v>
      </c>
      <c r="Q47" s="202"/>
      <c r="R47" s="191"/>
    </row>
    <row r="48" spans="1:18" ht="13.5" thickBot="1" x14ac:dyDescent="0.25">
      <c r="A48" s="171"/>
      <c r="B48" s="172" t="s">
        <v>154</v>
      </c>
      <c r="C48" s="173">
        <f t="shared" ref="C48:R48" si="9">SUM(C14:C47)</f>
        <v>170</v>
      </c>
      <c r="D48" s="173">
        <f t="shared" si="9"/>
        <v>570000</v>
      </c>
      <c r="E48" s="173">
        <f t="shared" si="9"/>
        <v>0</v>
      </c>
      <c r="F48" s="173">
        <f t="shared" si="9"/>
        <v>0</v>
      </c>
      <c r="G48" s="173">
        <f t="shared" si="9"/>
        <v>75</v>
      </c>
      <c r="H48" s="173">
        <f t="shared" si="9"/>
        <v>256500</v>
      </c>
      <c r="I48" s="173">
        <f t="shared" si="9"/>
        <v>0</v>
      </c>
      <c r="J48" s="173">
        <f t="shared" si="9"/>
        <v>0</v>
      </c>
      <c r="K48" s="173">
        <f t="shared" si="9"/>
        <v>41</v>
      </c>
      <c r="L48" s="173">
        <f t="shared" si="9"/>
        <v>134000</v>
      </c>
      <c r="M48" s="173">
        <f t="shared" si="9"/>
        <v>0</v>
      </c>
      <c r="N48" s="173">
        <f t="shared" si="9"/>
        <v>0</v>
      </c>
      <c r="O48" s="173">
        <f t="shared" si="9"/>
        <v>54</v>
      </c>
      <c r="P48" s="173">
        <f t="shared" si="9"/>
        <v>179500</v>
      </c>
      <c r="Q48" s="173">
        <f t="shared" si="9"/>
        <v>0</v>
      </c>
      <c r="R48" s="174">
        <f t="shared" si="9"/>
        <v>0</v>
      </c>
    </row>
    <row r="49" spans="1:18" s="38" customFormat="1" x14ac:dyDescent="0.2">
      <c r="A49" s="175" t="s">
        <v>6</v>
      </c>
      <c r="B49" s="194" t="s">
        <v>61</v>
      </c>
      <c r="C49" s="213"/>
      <c r="D49" s="213"/>
      <c r="E49" s="213"/>
      <c r="F49" s="213"/>
      <c r="G49" s="177"/>
      <c r="H49" s="178"/>
      <c r="I49" s="177"/>
      <c r="J49" s="177"/>
      <c r="K49" s="177"/>
      <c r="L49" s="178"/>
      <c r="M49" s="177"/>
      <c r="N49" s="177"/>
      <c r="O49" s="177"/>
      <c r="P49" s="178"/>
      <c r="Q49" s="177"/>
      <c r="R49" s="179"/>
    </row>
    <row r="50" spans="1:18" s="38" customFormat="1" ht="15" x14ac:dyDescent="0.25">
      <c r="A50" s="25"/>
      <c r="B50" s="48" t="s">
        <v>64</v>
      </c>
      <c r="C50" s="64">
        <f t="shared" ref="C50:C56" si="10">G50+K50+O50</f>
        <v>13</v>
      </c>
      <c r="D50" s="64">
        <f t="shared" ref="D50:D56" si="11">H50+L50+P50</f>
        <v>104000</v>
      </c>
      <c r="E50" s="64">
        <f t="shared" ref="E50:E56" si="12">I50+M50+Q50</f>
        <v>0</v>
      </c>
      <c r="F50" s="64">
        <f t="shared" ref="F50:F56" si="13">J50+N50+R50</f>
        <v>0</v>
      </c>
      <c r="G50" s="47">
        <v>6</v>
      </c>
      <c r="H50" s="119">
        <f>G50*8000</f>
        <v>48000</v>
      </c>
      <c r="I50" s="54"/>
      <c r="J50" s="54"/>
      <c r="K50" s="47">
        <v>2</v>
      </c>
      <c r="L50" s="119">
        <f>K50*8000</f>
        <v>16000</v>
      </c>
      <c r="M50" s="54"/>
      <c r="N50" s="54"/>
      <c r="O50" s="47">
        <v>5</v>
      </c>
      <c r="P50" s="119">
        <f>O50*8000</f>
        <v>40000</v>
      </c>
      <c r="Q50" s="54"/>
      <c r="R50" s="180"/>
    </row>
    <row r="51" spans="1:18" s="38" customFormat="1" ht="15" x14ac:dyDescent="0.25">
      <c r="A51" s="25"/>
      <c r="B51" s="48" t="s">
        <v>65</v>
      </c>
      <c r="C51" s="64">
        <f t="shared" si="10"/>
        <v>5</v>
      </c>
      <c r="D51" s="64">
        <f t="shared" si="11"/>
        <v>90000</v>
      </c>
      <c r="E51" s="64">
        <f t="shared" si="12"/>
        <v>0</v>
      </c>
      <c r="F51" s="64">
        <f t="shared" si="13"/>
        <v>0</v>
      </c>
      <c r="G51" s="47">
        <v>2</v>
      </c>
      <c r="H51" s="119">
        <f>G51*18000</f>
        <v>36000</v>
      </c>
      <c r="I51" s="54"/>
      <c r="J51" s="54"/>
      <c r="K51" s="47">
        <v>1</v>
      </c>
      <c r="L51" s="119">
        <f>K51*18000</f>
        <v>18000</v>
      </c>
      <c r="M51" s="54"/>
      <c r="N51" s="54"/>
      <c r="O51" s="47">
        <v>2</v>
      </c>
      <c r="P51" s="119">
        <f>O51*18000</f>
        <v>36000</v>
      </c>
      <c r="Q51" s="54"/>
      <c r="R51" s="180"/>
    </row>
    <row r="52" spans="1:18" s="38" customFormat="1" x14ac:dyDescent="0.2">
      <c r="A52" s="25"/>
      <c r="B52" s="193" t="s">
        <v>66</v>
      </c>
      <c r="C52" s="64">
        <f t="shared" si="10"/>
        <v>0</v>
      </c>
      <c r="D52" s="64">
        <f t="shared" si="11"/>
        <v>0</v>
      </c>
      <c r="E52" s="64">
        <f t="shared" si="12"/>
        <v>0</v>
      </c>
      <c r="F52" s="64">
        <f t="shared" si="13"/>
        <v>0</v>
      </c>
      <c r="G52" s="54"/>
      <c r="H52" s="119">
        <f>G52*3000</f>
        <v>0</v>
      </c>
      <c r="I52" s="54"/>
      <c r="J52" s="54"/>
      <c r="K52" s="54"/>
      <c r="L52" s="119">
        <f>K52*3000</f>
        <v>0</v>
      </c>
      <c r="M52" s="54"/>
      <c r="N52" s="54"/>
      <c r="O52" s="54"/>
      <c r="P52" s="119">
        <f>O52*3000</f>
        <v>0</v>
      </c>
      <c r="Q52" s="54"/>
      <c r="R52" s="180"/>
    </row>
    <row r="53" spans="1:18" s="38" customFormat="1" ht="15" x14ac:dyDescent="0.25">
      <c r="A53" s="25"/>
      <c r="B53" s="48" t="s">
        <v>67</v>
      </c>
      <c r="C53" s="64">
        <f t="shared" si="10"/>
        <v>4</v>
      </c>
      <c r="D53" s="64">
        <f t="shared" si="11"/>
        <v>24000</v>
      </c>
      <c r="E53" s="64">
        <f t="shared" si="12"/>
        <v>0</v>
      </c>
      <c r="F53" s="64">
        <f t="shared" si="13"/>
        <v>0</v>
      </c>
      <c r="G53" s="47">
        <v>2</v>
      </c>
      <c r="H53" s="119">
        <f>G53*6000</f>
        <v>12000</v>
      </c>
      <c r="I53" s="54"/>
      <c r="J53" s="54"/>
      <c r="K53" s="47">
        <v>1</v>
      </c>
      <c r="L53" s="119">
        <f>K53*6000</f>
        <v>6000</v>
      </c>
      <c r="M53" s="54"/>
      <c r="N53" s="54"/>
      <c r="O53" s="47">
        <v>1</v>
      </c>
      <c r="P53" s="119">
        <f>O53*6000</f>
        <v>6000</v>
      </c>
      <c r="Q53" s="54"/>
      <c r="R53" s="180"/>
    </row>
    <row r="54" spans="1:18" s="38" customFormat="1" x14ac:dyDescent="0.2">
      <c r="A54" s="25"/>
      <c r="B54" s="48" t="s">
        <v>68</v>
      </c>
      <c r="C54" s="64">
        <f t="shared" si="10"/>
        <v>0</v>
      </c>
      <c r="D54" s="64">
        <f t="shared" si="11"/>
        <v>0</v>
      </c>
      <c r="E54" s="64">
        <f t="shared" si="12"/>
        <v>0</v>
      </c>
      <c r="F54" s="64">
        <f t="shared" si="13"/>
        <v>0</v>
      </c>
      <c r="G54" s="54"/>
      <c r="H54" s="119"/>
      <c r="I54" s="54"/>
      <c r="J54" s="54"/>
      <c r="K54" s="54"/>
      <c r="L54" s="119"/>
      <c r="M54" s="54"/>
      <c r="N54" s="54"/>
      <c r="O54" s="54"/>
      <c r="P54" s="119"/>
      <c r="Q54" s="54"/>
      <c r="R54" s="180"/>
    </row>
    <row r="55" spans="1:18" s="38" customFormat="1" x14ac:dyDescent="0.2">
      <c r="A55" s="143"/>
      <c r="B55" s="48" t="s">
        <v>69</v>
      </c>
      <c r="C55" s="64">
        <f t="shared" si="10"/>
        <v>0</v>
      </c>
      <c r="D55" s="64">
        <f t="shared" si="11"/>
        <v>0</v>
      </c>
      <c r="E55" s="64">
        <f t="shared" si="12"/>
        <v>0</v>
      </c>
      <c r="F55" s="64">
        <f t="shared" si="13"/>
        <v>0</v>
      </c>
      <c r="G55" s="54"/>
      <c r="H55" s="119"/>
      <c r="I55" s="54"/>
      <c r="J55" s="54"/>
      <c r="K55" s="54"/>
      <c r="L55" s="119"/>
      <c r="M55" s="54"/>
      <c r="N55" s="54"/>
      <c r="O55" s="54"/>
      <c r="P55" s="119"/>
      <c r="Q55" s="54"/>
      <c r="R55" s="180"/>
    </row>
    <row r="56" spans="1:18" s="38" customFormat="1" x14ac:dyDescent="0.2">
      <c r="A56" s="143"/>
      <c r="B56" s="48" t="s">
        <v>70</v>
      </c>
      <c r="C56" s="64">
        <f t="shared" si="10"/>
        <v>0</v>
      </c>
      <c r="D56" s="64">
        <f t="shared" si="11"/>
        <v>0</v>
      </c>
      <c r="E56" s="64">
        <f t="shared" si="12"/>
        <v>0</v>
      </c>
      <c r="F56" s="64">
        <f t="shared" si="13"/>
        <v>0</v>
      </c>
      <c r="G56" s="54"/>
      <c r="H56" s="119"/>
      <c r="I56" s="54"/>
      <c r="J56" s="54"/>
      <c r="K56" s="54"/>
      <c r="L56" s="119"/>
      <c r="M56" s="54"/>
      <c r="N56" s="54"/>
      <c r="O56" s="54"/>
      <c r="P56" s="119"/>
      <c r="Q56" s="54"/>
      <c r="R56" s="180"/>
    </row>
    <row r="57" spans="1:18" s="38" customFormat="1" x14ac:dyDescent="0.2">
      <c r="A57" s="143"/>
      <c r="B57" s="48" t="s">
        <v>71</v>
      </c>
      <c r="C57" s="64">
        <f t="shared" ref="C57:F59" si="14">G57+K57+O57</f>
        <v>0</v>
      </c>
      <c r="D57" s="64">
        <f t="shared" si="14"/>
        <v>0</v>
      </c>
      <c r="E57" s="64">
        <f t="shared" si="14"/>
        <v>0</v>
      </c>
      <c r="F57" s="64">
        <f t="shared" si="14"/>
        <v>0</v>
      </c>
      <c r="G57" s="54"/>
      <c r="H57" s="119"/>
      <c r="I57" s="54"/>
      <c r="J57" s="54"/>
      <c r="K57" s="54"/>
      <c r="L57" s="119"/>
      <c r="M57" s="54"/>
      <c r="N57" s="54"/>
      <c r="O57" s="54"/>
      <c r="P57" s="119"/>
      <c r="Q57" s="54"/>
      <c r="R57" s="180"/>
    </row>
    <row r="58" spans="1:18" s="38" customFormat="1" x14ac:dyDescent="0.2">
      <c r="A58" s="143"/>
      <c r="B58" s="48" t="s">
        <v>72</v>
      </c>
      <c r="C58" s="64">
        <f t="shared" si="14"/>
        <v>0</v>
      </c>
      <c r="D58" s="64"/>
      <c r="E58" s="64"/>
      <c r="F58" s="64"/>
      <c r="G58" s="54"/>
      <c r="H58" s="119"/>
      <c r="I58" s="54"/>
      <c r="J58" s="54"/>
      <c r="K58" s="54"/>
      <c r="L58" s="119"/>
      <c r="M58" s="54"/>
      <c r="N58" s="54"/>
      <c r="O58" s="54"/>
      <c r="P58" s="119"/>
      <c r="Q58" s="54"/>
      <c r="R58" s="180"/>
    </row>
    <row r="59" spans="1:18" s="38" customFormat="1" ht="13.5" thickBot="1" x14ac:dyDescent="0.25">
      <c r="A59" s="195"/>
      <c r="B59" s="182" t="s">
        <v>73</v>
      </c>
      <c r="C59" s="239">
        <f t="shared" si="14"/>
        <v>1</v>
      </c>
      <c r="D59" s="239">
        <f t="shared" ref="D59" si="15">H59+L59+P59</f>
        <v>754500</v>
      </c>
      <c r="E59" s="239">
        <f t="shared" ref="E59" si="16">I59+M59+Q59</f>
        <v>0</v>
      </c>
      <c r="F59" s="239">
        <f t="shared" ref="F59" si="17">J59+N59+R59</f>
        <v>0</v>
      </c>
      <c r="G59" s="200">
        <v>1</v>
      </c>
      <c r="H59" s="184">
        <f>720000+34500</f>
        <v>754500</v>
      </c>
      <c r="I59" s="200"/>
      <c r="J59" s="200"/>
      <c r="K59" s="200"/>
      <c r="L59" s="184"/>
      <c r="M59" s="200"/>
      <c r="N59" s="200"/>
      <c r="O59" s="200"/>
      <c r="P59" s="184"/>
      <c r="Q59" s="200"/>
      <c r="R59" s="186"/>
    </row>
    <row r="60" spans="1:18" ht="13.5" thickBot="1" x14ac:dyDescent="0.25">
      <c r="A60" s="232"/>
      <c r="B60" s="255" t="s">
        <v>156</v>
      </c>
      <c r="C60" s="256">
        <f t="shared" ref="C60:R60" si="18">SUM(C50:C59)</f>
        <v>23</v>
      </c>
      <c r="D60" s="256">
        <f t="shared" si="18"/>
        <v>972500</v>
      </c>
      <c r="E60" s="256">
        <f t="shared" si="18"/>
        <v>0</v>
      </c>
      <c r="F60" s="256">
        <f t="shared" si="18"/>
        <v>0</v>
      </c>
      <c r="G60" s="256">
        <f t="shared" si="18"/>
        <v>11</v>
      </c>
      <c r="H60" s="256">
        <f t="shared" si="18"/>
        <v>850500</v>
      </c>
      <c r="I60" s="256">
        <f t="shared" si="18"/>
        <v>0</v>
      </c>
      <c r="J60" s="256">
        <f t="shared" si="18"/>
        <v>0</v>
      </c>
      <c r="K60" s="256">
        <f t="shared" si="18"/>
        <v>4</v>
      </c>
      <c r="L60" s="256">
        <f t="shared" si="18"/>
        <v>40000</v>
      </c>
      <c r="M60" s="256">
        <f t="shared" si="18"/>
        <v>0</v>
      </c>
      <c r="N60" s="256">
        <f t="shared" si="18"/>
        <v>0</v>
      </c>
      <c r="O60" s="256">
        <f t="shared" si="18"/>
        <v>8</v>
      </c>
      <c r="P60" s="256">
        <f t="shared" si="18"/>
        <v>82000</v>
      </c>
      <c r="Q60" s="256">
        <f t="shared" si="18"/>
        <v>0</v>
      </c>
      <c r="R60" s="256">
        <f t="shared" si="18"/>
        <v>0</v>
      </c>
    </row>
    <row r="61" spans="1:18" x14ac:dyDescent="0.2">
      <c r="A61" s="175" t="s">
        <v>7</v>
      </c>
      <c r="B61" s="176" t="s">
        <v>74</v>
      </c>
      <c r="C61" s="213"/>
      <c r="D61" s="213"/>
      <c r="E61" s="213"/>
      <c r="F61" s="213"/>
      <c r="G61" s="177"/>
      <c r="H61" s="178"/>
      <c r="I61" s="177"/>
      <c r="J61" s="177"/>
      <c r="K61" s="177"/>
      <c r="L61" s="178"/>
      <c r="M61" s="177"/>
      <c r="N61" s="177"/>
      <c r="O61" s="177"/>
      <c r="P61" s="178"/>
      <c r="Q61" s="177"/>
      <c r="R61" s="179"/>
    </row>
    <row r="62" spans="1:18" s="38" customFormat="1" ht="15" x14ac:dyDescent="0.25">
      <c r="A62" s="25"/>
      <c r="B62" s="135" t="s">
        <v>75</v>
      </c>
      <c r="C62" s="64">
        <f t="shared" ref="C62:C72" si="19">G62+K62+O62</f>
        <v>0</v>
      </c>
      <c r="D62" s="64">
        <f t="shared" ref="D62:D72" si="20">H62+L62+P62</f>
        <v>0</v>
      </c>
      <c r="E62" s="64">
        <f t="shared" ref="E62:E72" si="21">I62+M62+Q62</f>
        <v>0</v>
      </c>
      <c r="F62" s="64">
        <f t="shared" ref="F62:F72" si="22">J62+N62+R62</f>
        <v>0</v>
      </c>
      <c r="G62" s="47"/>
      <c r="H62" s="119"/>
      <c r="I62" s="54"/>
      <c r="J62" s="54"/>
      <c r="K62" s="47"/>
      <c r="L62" s="119"/>
      <c r="M62" s="54"/>
      <c r="N62" s="54"/>
      <c r="O62" s="47"/>
      <c r="P62" s="119"/>
      <c r="Q62" s="54"/>
      <c r="R62" s="180"/>
    </row>
    <row r="63" spans="1:18" s="38" customFormat="1" x14ac:dyDescent="0.2">
      <c r="A63" s="25"/>
      <c r="B63" s="135" t="s">
        <v>76</v>
      </c>
      <c r="C63" s="64">
        <f t="shared" si="19"/>
        <v>0</v>
      </c>
      <c r="D63" s="64">
        <f t="shared" si="20"/>
        <v>0</v>
      </c>
      <c r="E63" s="64">
        <f t="shared" si="21"/>
        <v>0</v>
      </c>
      <c r="F63" s="64">
        <f t="shared" si="22"/>
        <v>0</v>
      </c>
      <c r="G63" s="54"/>
      <c r="H63" s="119"/>
      <c r="I63" s="54"/>
      <c r="J63" s="54"/>
      <c r="K63" s="54"/>
      <c r="L63" s="119"/>
      <c r="M63" s="54"/>
      <c r="N63" s="54"/>
      <c r="O63" s="54"/>
      <c r="P63" s="119"/>
      <c r="Q63" s="54"/>
      <c r="R63" s="180"/>
    </row>
    <row r="64" spans="1:18" s="38" customFormat="1" x14ac:dyDescent="0.2">
      <c r="A64" s="25"/>
      <c r="B64" s="135" t="s">
        <v>77</v>
      </c>
      <c r="C64" s="64">
        <f t="shared" si="19"/>
        <v>0</v>
      </c>
      <c r="D64" s="64">
        <f t="shared" si="20"/>
        <v>0</v>
      </c>
      <c r="E64" s="64">
        <f t="shared" si="21"/>
        <v>0</v>
      </c>
      <c r="F64" s="64">
        <f t="shared" si="22"/>
        <v>0</v>
      </c>
      <c r="G64" s="54"/>
      <c r="H64" s="119"/>
      <c r="I64" s="54"/>
      <c r="J64" s="54"/>
      <c r="K64" s="54"/>
      <c r="L64" s="119"/>
      <c r="M64" s="54"/>
      <c r="N64" s="54"/>
      <c r="O64" s="54"/>
      <c r="P64" s="119"/>
      <c r="Q64" s="54"/>
      <c r="R64" s="180"/>
    </row>
    <row r="65" spans="1:18" s="38" customFormat="1" x14ac:dyDescent="0.2">
      <c r="A65" s="25"/>
      <c r="B65" s="135" t="s">
        <v>78</v>
      </c>
      <c r="C65" s="64">
        <f t="shared" si="19"/>
        <v>0</v>
      </c>
      <c r="D65" s="64">
        <f t="shared" si="20"/>
        <v>0</v>
      </c>
      <c r="E65" s="64">
        <f t="shared" si="21"/>
        <v>0</v>
      </c>
      <c r="F65" s="64">
        <f t="shared" si="22"/>
        <v>0</v>
      </c>
      <c r="G65" s="54"/>
      <c r="H65" s="119"/>
      <c r="I65" s="54"/>
      <c r="J65" s="54"/>
      <c r="K65" s="54"/>
      <c r="L65" s="119"/>
      <c r="M65" s="54"/>
      <c r="N65" s="54"/>
      <c r="O65" s="54"/>
      <c r="P65" s="119"/>
      <c r="Q65" s="54"/>
      <c r="R65" s="180"/>
    </row>
    <row r="66" spans="1:18" s="38" customFormat="1" x14ac:dyDescent="0.2">
      <c r="A66" s="25"/>
      <c r="B66" s="135" t="s">
        <v>79</v>
      </c>
      <c r="C66" s="64">
        <f t="shared" si="19"/>
        <v>0</v>
      </c>
      <c r="D66" s="64">
        <f t="shared" si="20"/>
        <v>0</v>
      </c>
      <c r="E66" s="64">
        <f t="shared" si="21"/>
        <v>0</v>
      </c>
      <c r="F66" s="64">
        <f t="shared" si="22"/>
        <v>0</v>
      </c>
      <c r="G66" s="54"/>
      <c r="H66" s="119"/>
      <c r="I66" s="54"/>
      <c r="J66" s="54"/>
      <c r="K66" s="54"/>
      <c r="L66" s="119"/>
      <c r="M66" s="54"/>
      <c r="N66" s="54"/>
      <c r="O66" s="54"/>
      <c r="P66" s="119"/>
      <c r="Q66" s="54"/>
      <c r="R66" s="180"/>
    </row>
    <row r="67" spans="1:18" s="38" customFormat="1" x14ac:dyDescent="0.2">
      <c r="A67" s="25"/>
      <c r="B67" s="135" t="s">
        <v>80</v>
      </c>
      <c r="C67" s="64">
        <f t="shared" si="19"/>
        <v>0</v>
      </c>
      <c r="D67" s="64">
        <f t="shared" si="20"/>
        <v>0</v>
      </c>
      <c r="E67" s="64">
        <f t="shared" si="21"/>
        <v>0</v>
      </c>
      <c r="F67" s="64">
        <f t="shared" si="22"/>
        <v>0</v>
      </c>
      <c r="G67" s="54"/>
      <c r="H67" s="119"/>
      <c r="I67" s="54"/>
      <c r="J67" s="54"/>
      <c r="K67" s="54"/>
      <c r="L67" s="119"/>
      <c r="M67" s="54"/>
      <c r="N67" s="54"/>
      <c r="O67" s="54"/>
      <c r="P67" s="119"/>
      <c r="Q67" s="54"/>
      <c r="R67" s="180"/>
    </row>
    <row r="68" spans="1:18" s="38" customFormat="1" x14ac:dyDescent="0.2">
      <c r="A68" s="25"/>
      <c r="B68" s="135" t="s">
        <v>81</v>
      </c>
      <c r="C68" s="64">
        <f t="shared" si="19"/>
        <v>0</v>
      </c>
      <c r="D68" s="64">
        <f t="shared" si="20"/>
        <v>0</v>
      </c>
      <c r="E68" s="64">
        <f t="shared" si="21"/>
        <v>0</v>
      </c>
      <c r="F68" s="64">
        <f t="shared" si="22"/>
        <v>0</v>
      </c>
      <c r="G68" s="54"/>
      <c r="H68" s="119"/>
      <c r="I68" s="54"/>
      <c r="J68" s="54"/>
      <c r="K68" s="54"/>
      <c r="L68" s="119"/>
      <c r="M68" s="54"/>
      <c r="N68" s="54"/>
      <c r="O68" s="54"/>
      <c r="P68" s="119"/>
      <c r="Q68" s="54"/>
      <c r="R68" s="180"/>
    </row>
    <row r="69" spans="1:18" s="38" customFormat="1" x14ac:dyDescent="0.2">
      <c r="A69" s="25"/>
      <c r="B69" s="135" t="s">
        <v>82</v>
      </c>
      <c r="C69" s="64">
        <f t="shared" si="19"/>
        <v>0</v>
      </c>
      <c r="D69" s="64">
        <f t="shared" si="20"/>
        <v>0</v>
      </c>
      <c r="E69" s="64">
        <f t="shared" si="21"/>
        <v>0</v>
      </c>
      <c r="F69" s="64">
        <f t="shared" si="22"/>
        <v>0</v>
      </c>
      <c r="G69" s="54"/>
      <c r="H69" s="119"/>
      <c r="I69" s="54"/>
      <c r="J69" s="54"/>
      <c r="K69" s="54"/>
      <c r="L69" s="119"/>
      <c r="M69" s="54"/>
      <c r="N69" s="54"/>
      <c r="O69" s="54"/>
      <c r="P69" s="119"/>
      <c r="Q69" s="54"/>
      <c r="R69" s="180"/>
    </row>
    <row r="70" spans="1:18" s="38" customFormat="1" x14ac:dyDescent="0.2">
      <c r="A70" s="25"/>
      <c r="B70" s="135" t="s">
        <v>83</v>
      </c>
      <c r="C70" s="64">
        <f t="shared" si="19"/>
        <v>2</v>
      </c>
      <c r="D70" s="64">
        <f t="shared" si="20"/>
        <v>30000</v>
      </c>
      <c r="E70" s="64">
        <f t="shared" si="21"/>
        <v>0</v>
      </c>
      <c r="F70" s="64">
        <f t="shared" si="22"/>
        <v>0</v>
      </c>
      <c r="G70" s="54">
        <v>2</v>
      </c>
      <c r="H70" s="119">
        <f>G70*15000</f>
        <v>30000</v>
      </c>
      <c r="I70" s="54"/>
      <c r="J70" s="54"/>
      <c r="K70" s="54"/>
      <c r="L70" s="119"/>
      <c r="M70" s="54"/>
      <c r="N70" s="54"/>
      <c r="O70" s="54"/>
      <c r="P70" s="119"/>
      <c r="Q70" s="54"/>
      <c r="R70" s="180"/>
    </row>
    <row r="71" spans="1:18" s="38" customFormat="1" x14ac:dyDescent="0.2">
      <c r="A71" s="25"/>
      <c r="B71" s="135" t="s">
        <v>84</v>
      </c>
      <c r="C71" s="64">
        <f t="shared" si="19"/>
        <v>0</v>
      </c>
      <c r="D71" s="64">
        <f t="shared" si="20"/>
        <v>0</v>
      </c>
      <c r="E71" s="64">
        <f t="shared" si="21"/>
        <v>0</v>
      </c>
      <c r="F71" s="64">
        <f t="shared" si="22"/>
        <v>0</v>
      </c>
      <c r="G71" s="54"/>
      <c r="H71" s="119"/>
      <c r="I71" s="54"/>
      <c r="J71" s="54"/>
      <c r="K71" s="54"/>
      <c r="L71" s="119"/>
      <c r="M71" s="54"/>
      <c r="N71" s="54"/>
      <c r="O71" s="54"/>
      <c r="P71" s="119"/>
      <c r="Q71" s="54"/>
      <c r="R71" s="180"/>
    </row>
    <row r="72" spans="1:18" s="38" customFormat="1" ht="13.5" thickBot="1" x14ac:dyDescent="0.25">
      <c r="A72" s="187"/>
      <c r="B72" s="201" t="s">
        <v>85</v>
      </c>
      <c r="C72" s="241">
        <f t="shared" si="19"/>
        <v>0</v>
      </c>
      <c r="D72" s="241">
        <f t="shared" si="20"/>
        <v>0</v>
      </c>
      <c r="E72" s="241">
        <f t="shared" si="21"/>
        <v>0</v>
      </c>
      <c r="F72" s="241">
        <f t="shared" si="22"/>
        <v>0</v>
      </c>
      <c r="G72" s="202"/>
      <c r="H72" s="189"/>
      <c r="I72" s="202"/>
      <c r="J72" s="202"/>
      <c r="K72" s="202"/>
      <c r="L72" s="189"/>
      <c r="M72" s="202"/>
      <c r="N72" s="202"/>
      <c r="O72" s="202"/>
      <c r="P72" s="189"/>
      <c r="Q72" s="202"/>
      <c r="R72" s="191"/>
    </row>
    <row r="73" spans="1:18" ht="13.5" thickBot="1" x14ac:dyDescent="0.25">
      <c r="A73" s="171"/>
      <c r="B73" s="172" t="s">
        <v>157</v>
      </c>
      <c r="C73" s="173">
        <f t="shared" ref="C73:R73" si="23">SUM(C62:C72)</f>
        <v>2</v>
      </c>
      <c r="D73" s="173">
        <f t="shared" si="23"/>
        <v>30000</v>
      </c>
      <c r="E73" s="173">
        <f t="shared" si="23"/>
        <v>0</v>
      </c>
      <c r="F73" s="173">
        <f t="shared" si="23"/>
        <v>0</v>
      </c>
      <c r="G73" s="173">
        <f t="shared" si="23"/>
        <v>2</v>
      </c>
      <c r="H73" s="173">
        <f t="shared" si="23"/>
        <v>30000</v>
      </c>
      <c r="I73" s="173">
        <f t="shared" si="23"/>
        <v>0</v>
      </c>
      <c r="J73" s="173">
        <f t="shared" si="23"/>
        <v>0</v>
      </c>
      <c r="K73" s="173">
        <f t="shared" si="23"/>
        <v>0</v>
      </c>
      <c r="L73" s="173">
        <f t="shared" si="23"/>
        <v>0</v>
      </c>
      <c r="M73" s="173">
        <f t="shared" si="23"/>
        <v>0</v>
      </c>
      <c r="N73" s="173">
        <f t="shared" si="23"/>
        <v>0</v>
      </c>
      <c r="O73" s="173">
        <f t="shared" si="23"/>
        <v>0</v>
      </c>
      <c r="P73" s="173">
        <f t="shared" si="23"/>
        <v>0</v>
      </c>
      <c r="Q73" s="173">
        <f t="shared" si="23"/>
        <v>0</v>
      </c>
      <c r="R73" s="174">
        <f t="shared" si="23"/>
        <v>0</v>
      </c>
    </row>
    <row r="74" spans="1:18" s="38" customFormat="1" x14ac:dyDescent="0.2">
      <c r="A74" s="175" t="s">
        <v>8</v>
      </c>
      <c r="B74" s="194" t="s">
        <v>86</v>
      </c>
      <c r="C74" s="240"/>
      <c r="D74" s="240"/>
      <c r="E74" s="240"/>
      <c r="F74" s="240"/>
      <c r="G74" s="177"/>
      <c r="H74" s="178"/>
      <c r="I74" s="177"/>
      <c r="J74" s="177"/>
      <c r="K74" s="177"/>
      <c r="L74" s="178"/>
      <c r="M74" s="177"/>
      <c r="N74" s="177"/>
      <c r="O74" s="177"/>
      <c r="P74" s="178"/>
      <c r="Q74" s="177"/>
      <c r="R74" s="179"/>
    </row>
    <row r="75" spans="1:18" s="38" customFormat="1" x14ac:dyDescent="0.2">
      <c r="A75" s="25"/>
      <c r="B75" s="193" t="s">
        <v>87</v>
      </c>
      <c r="C75" s="64"/>
      <c r="D75" s="64"/>
      <c r="E75" s="64"/>
      <c r="F75" s="64"/>
      <c r="G75" s="54"/>
      <c r="H75" s="119"/>
      <c r="I75" s="54"/>
      <c r="J75" s="54"/>
      <c r="K75" s="54"/>
      <c r="L75" s="119"/>
      <c r="M75" s="54"/>
      <c r="N75" s="54"/>
      <c r="O75" s="54"/>
      <c r="P75" s="119"/>
      <c r="Q75" s="54"/>
      <c r="R75" s="180"/>
    </row>
    <row r="76" spans="1:18" s="38" customFormat="1" ht="26.25" thickBot="1" x14ac:dyDescent="0.25">
      <c r="A76" s="181"/>
      <c r="B76" s="203" t="s">
        <v>88</v>
      </c>
      <c r="C76" s="239"/>
      <c r="D76" s="239"/>
      <c r="E76" s="239"/>
      <c r="F76" s="239"/>
      <c r="G76" s="200"/>
      <c r="H76" s="184"/>
      <c r="I76" s="200"/>
      <c r="J76" s="200"/>
      <c r="K76" s="200"/>
      <c r="L76" s="184"/>
      <c r="M76" s="200"/>
      <c r="N76" s="200"/>
      <c r="O76" s="200"/>
      <c r="P76" s="184"/>
      <c r="Q76" s="200"/>
      <c r="R76" s="186"/>
    </row>
    <row r="77" spans="1:18" ht="13.5" thickBot="1" x14ac:dyDescent="0.25">
      <c r="A77" s="232"/>
      <c r="B77" s="233" t="s">
        <v>158</v>
      </c>
      <c r="C77" s="107"/>
      <c r="D77" s="234">
        <f t="shared" ref="D77:R77" si="24">SUM(D75:D76)</f>
        <v>0</v>
      </c>
      <c r="E77" s="234">
        <f t="shared" si="24"/>
        <v>0</v>
      </c>
      <c r="F77" s="234">
        <f t="shared" si="24"/>
        <v>0</v>
      </c>
      <c r="G77" s="234">
        <f t="shared" si="24"/>
        <v>0</v>
      </c>
      <c r="H77" s="234">
        <f t="shared" si="24"/>
        <v>0</v>
      </c>
      <c r="I77" s="234">
        <f t="shared" si="24"/>
        <v>0</v>
      </c>
      <c r="J77" s="234">
        <f t="shared" si="24"/>
        <v>0</v>
      </c>
      <c r="K77" s="234">
        <f t="shared" si="24"/>
        <v>0</v>
      </c>
      <c r="L77" s="234">
        <f t="shared" si="24"/>
        <v>0</v>
      </c>
      <c r="M77" s="234">
        <f t="shared" si="24"/>
        <v>0</v>
      </c>
      <c r="N77" s="234">
        <f t="shared" si="24"/>
        <v>0</v>
      </c>
      <c r="O77" s="234">
        <f t="shared" si="24"/>
        <v>0</v>
      </c>
      <c r="P77" s="234">
        <f t="shared" si="24"/>
        <v>0</v>
      </c>
      <c r="Q77" s="234">
        <f t="shared" si="24"/>
        <v>0</v>
      </c>
      <c r="R77" s="234">
        <f t="shared" si="24"/>
        <v>0</v>
      </c>
    </row>
    <row r="78" spans="1:18" s="38" customFormat="1" x14ac:dyDescent="0.2">
      <c r="A78" s="175" t="s">
        <v>9</v>
      </c>
      <c r="B78" s="176" t="s">
        <v>90</v>
      </c>
      <c r="C78" s="213"/>
      <c r="D78" s="213"/>
      <c r="E78" s="213"/>
      <c r="F78" s="213"/>
      <c r="G78" s="177"/>
      <c r="H78" s="178"/>
      <c r="I78" s="177"/>
      <c r="J78" s="177"/>
      <c r="K78" s="177"/>
      <c r="L78" s="178"/>
      <c r="M78" s="177"/>
      <c r="N78" s="177"/>
      <c r="O78" s="177"/>
      <c r="P78" s="178"/>
      <c r="Q78" s="177"/>
      <c r="R78" s="179"/>
    </row>
    <row r="79" spans="1:18" s="38" customFormat="1" ht="15" x14ac:dyDescent="0.25">
      <c r="A79" s="25"/>
      <c r="B79" s="205" t="s">
        <v>91</v>
      </c>
      <c r="C79" s="64">
        <f t="shared" ref="C79:F80" si="25">G79+K79+O79</f>
        <v>4</v>
      </c>
      <c r="D79" s="64">
        <f t="shared" si="25"/>
        <v>2200000</v>
      </c>
      <c r="E79" s="64">
        <f t="shared" si="25"/>
        <v>0</v>
      </c>
      <c r="F79" s="64">
        <f t="shared" si="25"/>
        <v>0</v>
      </c>
      <c r="G79" s="47">
        <v>1</v>
      </c>
      <c r="H79" s="119">
        <f>G79*550000</f>
        <v>550000</v>
      </c>
      <c r="I79" s="54"/>
      <c r="J79" s="54"/>
      <c r="K79" s="47">
        <v>1</v>
      </c>
      <c r="L79" s="119">
        <f>K79*550000</f>
        <v>550000</v>
      </c>
      <c r="M79" s="54"/>
      <c r="N79" s="54"/>
      <c r="O79" s="47">
        <v>2</v>
      </c>
      <c r="P79" s="119">
        <f>O79*550000</f>
        <v>1100000</v>
      </c>
      <c r="Q79" s="54"/>
      <c r="R79" s="180"/>
    </row>
    <row r="80" spans="1:18" s="38" customFormat="1" ht="15" x14ac:dyDescent="0.25">
      <c r="A80" s="25"/>
      <c r="B80" s="205" t="s">
        <v>92</v>
      </c>
      <c r="C80" s="64">
        <f t="shared" si="25"/>
        <v>3</v>
      </c>
      <c r="D80" s="64">
        <f t="shared" si="25"/>
        <v>1350000</v>
      </c>
      <c r="E80" s="64">
        <f t="shared" si="25"/>
        <v>0</v>
      </c>
      <c r="F80" s="64">
        <f t="shared" si="25"/>
        <v>0</v>
      </c>
      <c r="G80" s="47">
        <v>1</v>
      </c>
      <c r="H80" s="119">
        <f>G80*450000</f>
        <v>450000</v>
      </c>
      <c r="I80" s="54"/>
      <c r="J80" s="54"/>
      <c r="K80" s="47">
        <v>1</v>
      </c>
      <c r="L80" s="119">
        <f>K80*450000</f>
        <v>450000</v>
      </c>
      <c r="M80" s="54"/>
      <c r="N80" s="54"/>
      <c r="O80" s="47">
        <v>1</v>
      </c>
      <c r="P80" s="119">
        <f>O80*450000</f>
        <v>450000</v>
      </c>
      <c r="Q80" s="54"/>
      <c r="R80" s="180"/>
    </row>
    <row r="81" spans="1:18" s="38" customFormat="1" ht="15" x14ac:dyDescent="0.25">
      <c r="A81" s="25"/>
      <c r="B81" s="205" t="s">
        <v>93</v>
      </c>
      <c r="C81" s="64"/>
      <c r="D81" s="64"/>
      <c r="E81" s="64"/>
      <c r="F81" s="64"/>
      <c r="G81" s="47">
        <v>1</v>
      </c>
      <c r="H81" s="119">
        <f>G81*15000</f>
        <v>15000</v>
      </c>
      <c r="I81" s="54"/>
      <c r="J81" s="54"/>
      <c r="K81" s="47">
        <v>1</v>
      </c>
      <c r="L81" s="119">
        <f>K81*15000</f>
        <v>15000</v>
      </c>
      <c r="M81" s="54"/>
      <c r="N81" s="54"/>
      <c r="O81" s="47">
        <v>1</v>
      </c>
      <c r="P81" s="119">
        <f>O81*15000</f>
        <v>15000</v>
      </c>
      <c r="Q81" s="54"/>
      <c r="R81" s="180"/>
    </row>
    <row r="82" spans="1:18" s="38" customFormat="1" ht="15" x14ac:dyDescent="0.25">
      <c r="A82" s="25"/>
      <c r="B82" s="205" t="s">
        <v>94</v>
      </c>
      <c r="C82" s="64">
        <f>G82+K82+O82</f>
        <v>2</v>
      </c>
      <c r="D82" s="64">
        <f>H82+L82+P82</f>
        <v>260000</v>
      </c>
      <c r="E82" s="64">
        <f>I82+M82+Q82</f>
        <v>0</v>
      </c>
      <c r="F82" s="64">
        <f>J82+N82+R82</f>
        <v>0</v>
      </c>
      <c r="G82" s="47">
        <v>0</v>
      </c>
      <c r="H82" s="119">
        <f>G82*130000</f>
        <v>0</v>
      </c>
      <c r="I82" s="54"/>
      <c r="J82" s="54"/>
      <c r="K82" s="47">
        <v>0</v>
      </c>
      <c r="L82" s="119">
        <f>K82*130000</f>
        <v>0</v>
      </c>
      <c r="M82" s="54"/>
      <c r="N82" s="54"/>
      <c r="O82" s="47">
        <v>2</v>
      </c>
      <c r="P82" s="119">
        <f>O82*130000</f>
        <v>260000</v>
      </c>
      <c r="Q82" s="54"/>
      <c r="R82" s="180"/>
    </row>
    <row r="83" spans="1:18" s="38" customFormat="1" ht="15" x14ac:dyDescent="0.25">
      <c r="A83" s="25"/>
      <c r="B83" s="48" t="s">
        <v>95</v>
      </c>
      <c r="C83" s="64">
        <f t="shared" ref="C83:C91" si="26">G83+K83+O83</f>
        <v>4</v>
      </c>
      <c r="D83" s="64">
        <f t="shared" ref="D83:D91" si="27">H83+L83+P83</f>
        <v>20000</v>
      </c>
      <c r="E83" s="64">
        <f t="shared" ref="E83:E91" si="28">I83+M83+Q83</f>
        <v>0</v>
      </c>
      <c r="F83" s="64">
        <f t="shared" ref="F83:F91" si="29">J83+N83+R83</f>
        <v>0</v>
      </c>
      <c r="G83" s="47">
        <v>2</v>
      </c>
      <c r="H83" s="119">
        <f>G83*5000</f>
        <v>10000</v>
      </c>
      <c r="I83" s="54"/>
      <c r="J83" s="54"/>
      <c r="K83" s="54">
        <v>0</v>
      </c>
      <c r="L83" s="119">
        <f>K83*5000</f>
        <v>0</v>
      </c>
      <c r="M83" s="54"/>
      <c r="N83" s="54"/>
      <c r="O83" s="47">
        <v>2</v>
      </c>
      <c r="P83" s="119">
        <f>O83*5000</f>
        <v>10000</v>
      </c>
      <c r="Q83" s="54"/>
      <c r="R83" s="180"/>
    </row>
    <row r="84" spans="1:18" s="141" customFormat="1" ht="15" x14ac:dyDescent="0.25">
      <c r="A84" s="25"/>
      <c r="B84" s="205" t="s">
        <v>96</v>
      </c>
      <c r="C84" s="64">
        <f t="shared" ref="C84:F89" si="30">G84+K84+O84</f>
        <v>4</v>
      </c>
      <c r="D84" s="64">
        <f t="shared" si="30"/>
        <v>20000</v>
      </c>
      <c r="E84" s="64">
        <f t="shared" si="30"/>
        <v>0</v>
      </c>
      <c r="F84" s="64">
        <f t="shared" si="30"/>
        <v>0</v>
      </c>
      <c r="G84" s="47">
        <v>2</v>
      </c>
      <c r="H84" s="119">
        <f>G84*5000</f>
        <v>10000</v>
      </c>
      <c r="I84" s="54"/>
      <c r="J84" s="54"/>
      <c r="K84" s="54">
        <v>0</v>
      </c>
      <c r="L84" s="119">
        <f>K84*5000</f>
        <v>0</v>
      </c>
      <c r="M84" s="54"/>
      <c r="N84" s="54"/>
      <c r="O84" s="47">
        <v>2</v>
      </c>
      <c r="P84" s="119">
        <f>O84*5000</f>
        <v>10000</v>
      </c>
      <c r="Q84" s="54"/>
      <c r="R84" s="180"/>
    </row>
    <row r="85" spans="1:18" s="141" customFormat="1" ht="15" x14ac:dyDescent="0.25">
      <c r="A85" s="25"/>
      <c r="B85" s="205" t="s">
        <v>97</v>
      </c>
      <c r="C85" s="64">
        <f t="shared" si="30"/>
        <v>4</v>
      </c>
      <c r="D85" s="64">
        <f t="shared" si="30"/>
        <v>28000</v>
      </c>
      <c r="E85" s="64">
        <f t="shared" si="30"/>
        <v>0</v>
      </c>
      <c r="F85" s="64">
        <f t="shared" si="30"/>
        <v>0</v>
      </c>
      <c r="G85" s="47">
        <v>2</v>
      </c>
      <c r="H85" s="119">
        <f>G85*7000</f>
        <v>14000</v>
      </c>
      <c r="I85" s="54"/>
      <c r="J85" s="54"/>
      <c r="K85" s="47">
        <v>0</v>
      </c>
      <c r="L85" s="119">
        <f>K85*7000</f>
        <v>0</v>
      </c>
      <c r="M85" s="54"/>
      <c r="N85" s="54"/>
      <c r="O85" s="47">
        <v>2</v>
      </c>
      <c r="P85" s="119">
        <f>O85*7000</f>
        <v>14000</v>
      </c>
      <c r="Q85" s="54"/>
      <c r="R85" s="180"/>
    </row>
    <row r="86" spans="1:18" s="141" customFormat="1" ht="15" x14ac:dyDescent="0.25">
      <c r="A86" s="25"/>
      <c r="B86" s="205" t="s">
        <v>98</v>
      </c>
      <c r="C86" s="64">
        <f t="shared" si="30"/>
        <v>8</v>
      </c>
      <c r="D86" s="64">
        <f t="shared" si="30"/>
        <v>64000</v>
      </c>
      <c r="E86" s="64">
        <f t="shared" si="30"/>
        <v>0</v>
      </c>
      <c r="F86" s="64">
        <f t="shared" si="30"/>
        <v>0</v>
      </c>
      <c r="G86" s="47">
        <v>2</v>
      </c>
      <c r="H86" s="119">
        <f>G86*8000</f>
        <v>16000</v>
      </c>
      <c r="I86" s="54"/>
      <c r="J86" s="54"/>
      <c r="K86" s="47">
        <v>4</v>
      </c>
      <c r="L86" s="119">
        <f>K86*8000</f>
        <v>32000</v>
      </c>
      <c r="M86" s="54"/>
      <c r="N86" s="54"/>
      <c r="O86" s="47">
        <v>2</v>
      </c>
      <c r="P86" s="119">
        <f>O86*8000</f>
        <v>16000</v>
      </c>
      <c r="Q86" s="54"/>
      <c r="R86" s="180"/>
    </row>
    <row r="87" spans="1:18" s="38" customFormat="1" ht="15" x14ac:dyDescent="0.25">
      <c r="A87" s="25"/>
      <c r="B87" s="205" t="s">
        <v>99</v>
      </c>
      <c r="C87" s="64">
        <f t="shared" si="30"/>
        <v>4</v>
      </c>
      <c r="D87" s="64">
        <f t="shared" si="30"/>
        <v>32000</v>
      </c>
      <c r="E87" s="64">
        <f t="shared" si="30"/>
        <v>0</v>
      </c>
      <c r="F87" s="64">
        <f t="shared" si="30"/>
        <v>0</v>
      </c>
      <c r="G87" s="47"/>
      <c r="H87" s="119">
        <f>G87*8000</f>
        <v>0</v>
      </c>
      <c r="I87" s="54"/>
      <c r="J87" s="54"/>
      <c r="K87" s="47">
        <v>2</v>
      </c>
      <c r="L87" s="119">
        <f>K87*8000</f>
        <v>16000</v>
      </c>
      <c r="M87" s="54"/>
      <c r="N87" s="54"/>
      <c r="O87" s="47">
        <v>2</v>
      </c>
      <c r="P87" s="119">
        <f>O87*8000</f>
        <v>16000</v>
      </c>
      <c r="Q87" s="54"/>
      <c r="R87" s="180"/>
    </row>
    <row r="88" spans="1:18" s="141" customFormat="1" ht="15" x14ac:dyDescent="0.25">
      <c r="A88" s="25"/>
      <c r="B88" s="205" t="s">
        <v>100</v>
      </c>
      <c r="C88" s="64">
        <f t="shared" si="30"/>
        <v>2</v>
      </c>
      <c r="D88" s="64">
        <f t="shared" si="30"/>
        <v>50000</v>
      </c>
      <c r="E88" s="64">
        <f t="shared" si="30"/>
        <v>0</v>
      </c>
      <c r="F88" s="64">
        <f t="shared" si="30"/>
        <v>0</v>
      </c>
      <c r="G88" s="47"/>
      <c r="H88" s="119">
        <f>G88*25000</f>
        <v>0</v>
      </c>
      <c r="I88" s="54"/>
      <c r="J88" s="54"/>
      <c r="K88" s="54">
        <v>1</v>
      </c>
      <c r="L88" s="119">
        <f>K88*25000</f>
        <v>25000</v>
      </c>
      <c r="M88" s="54"/>
      <c r="N88" s="54"/>
      <c r="O88" s="47">
        <v>1</v>
      </c>
      <c r="P88" s="119">
        <f>O88*25000</f>
        <v>25000</v>
      </c>
      <c r="Q88" s="54"/>
      <c r="R88" s="180"/>
    </row>
    <row r="89" spans="1:18" s="141" customFormat="1" x14ac:dyDescent="0.2">
      <c r="A89" s="25"/>
      <c r="B89" s="205" t="s">
        <v>101</v>
      </c>
      <c r="C89" s="64">
        <f t="shared" si="30"/>
        <v>8</v>
      </c>
      <c r="D89" s="64">
        <f t="shared" si="30"/>
        <v>12000</v>
      </c>
      <c r="E89" s="64">
        <f t="shared" si="30"/>
        <v>0</v>
      </c>
      <c r="F89" s="64">
        <f t="shared" si="30"/>
        <v>0</v>
      </c>
      <c r="G89" s="54">
        <v>2</v>
      </c>
      <c r="H89" s="119">
        <f>G89*1500</f>
        <v>3000</v>
      </c>
      <c r="I89" s="54"/>
      <c r="J89" s="54"/>
      <c r="K89" s="54">
        <v>1</v>
      </c>
      <c r="L89" s="119">
        <f>K89*1500</f>
        <v>1500</v>
      </c>
      <c r="M89" s="54"/>
      <c r="N89" s="54"/>
      <c r="O89" s="54">
        <v>5</v>
      </c>
      <c r="P89" s="119">
        <f>O89*1500</f>
        <v>7500</v>
      </c>
      <c r="Q89" s="54"/>
      <c r="R89" s="180"/>
    </row>
    <row r="90" spans="1:18" s="38" customFormat="1" ht="15" x14ac:dyDescent="0.25">
      <c r="A90" s="25"/>
      <c r="B90" s="205" t="s">
        <v>102</v>
      </c>
      <c r="C90" s="64">
        <f t="shared" si="26"/>
        <v>14</v>
      </c>
      <c r="D90" s="64">
        <f t="shared" si="27"/>
        <v>490000</v>
      </c>
      <c r="E90" s="64">
        <f t="shared" si="28"/>
        <v>0</v>
      </c>
      <c r="F90" s="64">
        <f t="shared" si="29"/>
        <v>0</v>
      </c>
      <c r="G90" s="47">
        <v>6</v>
      </c>
      <c r="H90" s="119">
        <f>G90*35000</f>
        <v>210000</v>
      </c>
      <c r="I90" s="54"/>
      <c r="J90" s="54"/>
      <c r="K90" s="47">
        <v>4</v>
      </c>
      <c r="L90" s="119">
        <f>K90*35000</f>
        <v>140000</v>
      </c>
      <c r="M90" s="54"/>
      <c r="N90" s="54"/>
      <c r="O90" s="47">
        <v>4</v>
      </c>
      <c r="P90" s="119">
        <f>O90*35000</f>
        <v>140000</v>
      </c>
      <c r="Q90" s="54"/>
      <c r="R90" s="180"/>
    </row>
    <row r="91" spans="1:18" s="141" customFormat="1" ht="13.5" thickBot="1" x14ac:dyDescent="0.25">
      <c r="A91" s="187"/>
      <c r="B91" s="188" t="s">
        <v>103</v>
      </c>
      <c r="C91" s="241">
        <f t="shared" si="26"/>
        <v>0</v>
      </c>
      <c r="D91" s="241">
        <f t="shared" si="27"/>
        <v>0</v>
      </c>
      <c r="E91" s="241">
        <f t="shared" si="28"/>
        <v>0</v>
      </c>
      <c r="F91" s="241">
        <f t="shared" si="29"/>
        <v>0</v>
      </c>
      <c r="G91" s="202"/>
      <c r="H91" s="189"/>
      <c r="I91" s="202"/>
      <c r="J91" s="202"/>
      <c r="K91" s="202"/>
      <c r="L91" s="189"/>
      <c r="M91" s="202"/>
      <c r="N91" s="202"/>
      <c r="O91" s="202"/>
      <c r="P91" s="189"/>
      <c r="Q91" s="202"/>
      <c r="R91" s="191"/>
    </row>
    <row r="92" spans="1:18" ht="13.5" thickBot="1" x14ac:dyDescent="0.25">
      <c r="A92" s="171"/>
      <c r="B92" s="172" t="s">
        <v>159</v>
      </c>
      <c r="C92" s="173">
        <f t="shared" ref="C92:R92" si="31">SUM(C79:C91)</f>
        <v>57</v>
      </c>
      <c r="D92" s="173">
        <f t="shared" si="31"/>
        <v>4526000</v>
      </c>
      <c r="E92" s="173">
        <f t="shared" si="31"/>
        <v>0</v>
      </c>
      <c r="F92" s="173">
        <f t="shared" si="31"/>
        <v>0</v>
      </c>
      <c r="G92" s="173">
        <f t="shared" si="31"/>
        <v>19</v>
      </c>
      <c r="H92" s="173">
        <f t="shared" si="31"/>
        <v>1278000</v>
      </c>
      <c r="I92" s="173">
        <f t="shared" si="31"/>
        <v>0</v>
      </c>
      <c r="J92" s="173">
        <f t="shared" si="31"/>
        <v>0</v>
      </c>
      <c r="K92" s="173">
        <f t="shared" si="31"/>
        <v>15</v>
      </c>
      <c r="L92" s="173">
        <f t="shared" si="31"/>
        <v>1229500</v>
      </c>
      <c r="M92" s="173">
        <f t="shared" si="31"/>
        <v>0</v>
      </c>
      <c r="N92" s="173">
        <f t="shared" si="31"/>
        <v>0</v>
      </c>
      <c r="O92" s="173">
        <f t="shared" si="31"/>
        <v>26</v>
      </c>
      <c r="P92" s="173">
        <f t="shared" si="31"/>
        <v>2063500</v>
      </c>
      <c r="Q92" s="173">
        <f t="shared" si="31"/>
        <v>0</v>
      </c>
      <c r="R92" s="174">
        <f t="shared" si="31"/>
        <v>0</v>
      </c>
    </row>
    <row r="93" spans="1:18" s="38" customFormat="1" x14ac:dyDescent="0.2">
      <c r="A93" s="210" t="s">
        <v>10</v>
      </c>
      <c r="B93" s="211" t="s">
        <v>104</v>
      </c>
      <c r="C93" s="213"/>
      <c r="D93" s="213"/>
      <c r="E93" s="213"/>
      <c r="F93" s="213"/>
      <c r="G93" s="177"/>
      <c r="H93" s="178"/>
      <c r="I93" s="177"/>
      <c r="J93" s="177"/>
      <c r="K93" s="177"/>
      <c r="L93" s="178"/>
      <c r="M93" s="177"/>
      <c r="N93" s="177"/>
      <c r="O93" s="177"/>
      <c r="P93" s="178"/>
      <c r="Q93" s="177"/>
      <c r="R93" s="179"/>
    </row>
    <row r="94" spans="1:18" s="141" customFormat="1" ht="15" x14ac:dyDescent="0.25">
      <c r="A94" s="143"/>
      <c r="B94" s="205" t="s">
        <v>105</v>
      </c>
      <c r="C94" s="64">
        <f t="shared" ref="C94:C124" si="32">G94+K94+O94</f>
        <v>0</v>
      </c>
      <c r="D94" s="64">
        <f t="shared" ref="D94:D124" si="33">H94+L94+P94</f>
        <v>0</v>
      </c>
      <c r="E94" s="64">
        <f t="shared" ref="E94:E124" si="34">I94+M94+Q94</f>
        <v>0</v>
      </c>
      <c r="F94" s="64">
        <f t="shared" ref="F94:F124" si="35">J94+N94+R94</f>
        <v>0</v>
      </c>
      <c r="G94" s="47"/>
      <c r="H94" s="123"/>
      <c r="I94" s="54"/>
      <c r="J94" s="54"/>
      <c r="K94" s="47"/>
      <c r="L94" s="119"/>
      <c r="M94" s="54"/>
      <c r="N94" s="54"/>
      <c r="O94" s="47"/>
      <c r="P94" s="119"/>
      <c r="Q94" s="54"/>
      <c r="R94" s="180"/>
    </row>
    <row r="95" spans="1:18" s="38" customFormat="1" ht="15" x14ac:dyDescent="0.25">
      <c r="A95" s="25"/>
      <c r="B95" s="48" t="s">
        <v>106</v>
      </c>
      <c r="C95" s="64">
        <f t="shared" ref="C95:C104" si="36">G95+K95+O95</f>
        <v>0</v>
      </c>
      <c r="D95" s="64">
        <f t="shared" si="33"/>
        <v>0</v>
      </c>
      <c r="E95" s="64">
        <f t="shared" si="34"/>
        <v>0</v>
      </c>
      <c r="F95" s="64">
        <f t="shared" si="35"/>
        <v>0</v>
      </c>
      <c r="G95" s="47"/>
      <c r="H95" s="123"/>
      <c r="I95" s="54"/>
      <c r="J95" s="54"/>
      <c r="K95" s="47"/>
      <c r="L95" s="119"/>
      <c r="M95" s="54"/>
      <c r="N95" s="54"/>
      <c r="O95" s="47"/>
      <c r="P95" s="119"/>
      <c r="Q95" s="54"/>
      <c r="R95" s="180"/>
    </row>
    <row r="96" spans="1:18" s="38" customFormat="1" x14ac:dyDescent="0.2">
      <c r="A96" s="25"/>
      <c r="B96" s="48" t="s">
        <v>107</v>
      </c>
      <c r="C96" s="64">
        <f t="shared" si="36"/>
        <v>0</v>
      </c>
      <c r="D96" s="64">
        <f t="shared" si="33"/>
        <v>0</v>
      </c>
      <c r="E96" s="64">
        <f t="shared" si="34"/>
        <v>0</v>
      </c>
      <c r="F96" s="64">
        <f t="shared" si="35"/>
        <v>0</v>
      </c>
      <c r="G96" s="54"/>
      <c r="H96" s="119"/>
      <c r="I96" s="54"/>
      <c r="J96" s="54"/>
      <c r="K96" s="54"/>
      <c r="L96" s="119"/>
      <c r="M96" s="54"/>
      <c r="N96" s="54"/>
      <c r="O96" s="54"/>
      <c r="P96" s="119"/>
      <c r="Q96" s="54"/>
      <c r="R96" s="180"/>
    </row>
    <row r="97" spans="1:18" s="38" customFormat="1" ht="15" x14ac:dyDescent="0.25">
      <c r="A97" s="25"/>
      <c r="B97" s="208" t="s">
        <v>109</v>
      </c>
      <c r="C97" s="64">
        <f t="shared" si="36"/>
        <v>0</v>
      </c>
      <c r="D97" s="64">
        <f t="shared" si="33"/>
        <v>0</v>
      </c>
      <c r="E97" s="64">
        <f t="shared" si="34"/>
        <v>0</v>
      </c>
      <c r="F97" s="64">
        <f t="shared" si="35"/>
        <v>0</v>
      </c>
      <c r="G97" s="47"/>
      <c r="H97" s="123"/>
      <c r="I97" s="54"/>
      <c r="J97" s="54"/>
      <c r="K97" s="47"/>
      <c r="L97" s="119"/>
      <c r="M97" s="54"/>
      <c r="N97" s="54"/>
      <c r="O97" s="47"/>
      <c r="P97" s="119"/>
      <c r="Q97" s="54"/>
      <c r="R97" s="180"/>
    </row>
    <row r="98" spans="1:18" s="38" customFormat="1" ht="15" x14ac:dyDescent="0.25">
      <c r="A98" s="25"/>
      <c r="B98" s="208" t="s">
        <v>111</v>
      </c>
      <c r="C98" s="64">
        <f t="shared" si="36"/>
        <v>0</v>
      </c>
      <c r="D98" s="64">
        <f t="shared" si="33"/>
        <v>0</v>
      </c>
      <c r="E98" s="64">
        <f t="shared" si="34"/>
        <v>0</v>
      </c>
      <c r="F98" s="64">
        <f t="shared" si="35"/>
        <v>0</v>
      </c>
      <c r="G98" s="47"/>
      <c r="H98" s="123"/>
      <c r="I98" s="54"/>
      <c r="J98" s="54"/>
      <c r="K98" s="47"/>
      <c r="L98" s="119"/>
      <c r="M98" s="54"/>
      <c r="N98" s="54"/>
      <c r="O98" s="47"/>
      <c r="P98" s="119"/>
      <c r="Q98" s="54"/>
      <c r="R98" s="180"/>
    </row>
    <row r="99" spans="1:18" s="38" customFormat="1" x14ac:dyDescent="0.2">
      <c r="A99" s="25"/>
      <c r="B99" s="208" t="s">
        <v>113</v>
      </c>
      <c r="C99" s="64">
        <f t="shared" si="36"/>
        <v>0</v>
      </c>
      <c r="D99" s="64">
        <f t="shared" si="33"/>
        <v>0</v>
      </c>
      <c r="E99" s="64">
        <f t="shared" si="34"/>
        <v>0</v>
      </c>
      <c r="F99" s="64">
        <f t="shared" si="35"/>
        <v>0</v>
      </c>
      <c r="G99" s="54"/>
      <c r="H99" s="119"/>
      <c r="I99" s="54"/>
      <c r="J99" s="54"/>
      <c r="K99" s="54"/>
      <c r="L99" s="119"/>
      <c r="M99" s="54"/>
      <c r="N99" s="54"/>
      <c r="O99" s="54"/>
      <c r="P99" s="119"/>
      <c r="Q99" s="54"/>
      <c r="R99" s="180"/>
    </row>
    <row r="100" spans="1:18" s="38" customFormat="1" ht="15" x14ac:dyDescent="0.25">
      <c r="A100" s="25"/>
      <c r="B100" s="208" t="s">
        <v>115</v>
      </c>
      <c r="C100" s="64">
        <f t="shared" si="36"/>
        <v>0</v>
      </c>
      <c r="D100" s="64">
        <f t="shared" si="33"/>
        <v>0</v>
      </c>
      <c r="E100" s="64">
        <f t="shared" si="34"/>
        <v>0</v>
      </c>
      <c r="F100" s="64">
        <f t="shared" si="35"/>
        <v>0</v>
      </c>
      <c r="G100" s="47"/>
      <c r="H100" s="119"/>
      <c r="I100" s="54"/>
      <c r="J100" s="54"/>
      <c r="K100" s="54"/>
      <c r="L100" s="119"/>
      <c r="M100" s="54"/>
      <c r="N100" s="54"/>
      <c r="O100" s="47"/>
      <c r="P100" s="119"/>
      <c r="Q100" s="54"/>
      <c r="R100" s="180"/>
    </row>
    <row r="101" spans="1:18" s="38" customFormat="1" ht="15" x14ac:dyDescent="0.25">
      <c r="A101" s="25"/>
      <c r="B101" s="208" t="s">
        <v>279</v>
      </c>
      <c r="C101" s="64"/>
      <c r="D101" s="64"/>
      <c r="E101" s="64"/>
      <c r="F101" s="64"/>
      <c r="G101" s="47"/>
      <c r="H101" s="119"/>
      <c r="I101" s="54"/>
      <c r="J101" s="54"/>
      <c r="K101" s="54"/>
      <c r="L101" s="119"/>
      <c r="M101" s="54"/>
      <c r="N101" s="54"/>
      <c r="O101" s="47"/>
      <c r="P101" s="119"/>
      <c r="Q101" s="54"/>
      <c r="R101" s="180"/>
    </row>
    <row r="102" spans="1:18" s="38" customFormat="1" ht="15" x14ac:dyDescent="0.25">
      <c r="A102" s="25"/>
      <c r="B102" s="205" t="s">
        <v>116</v>
      </c>
      <c r="C102" s="64">
        <f t="shared" si="36"/>
        <v>0</v>
      </c>
      <c r="D102" s="64">
        <f t="shared" si="33"/>
        <v>0</v>
      </c>
      <c r="E102" s="64">
        <f t="shared" si="34"/>
        <v>0</v>
      </c>
      <c r="F102" s="64">
        <f t="shared" si="35"/>
        <v>0</v>
      </c>
      <c r="G102" s="47"/>
      <c r="H102" s="119"/>
      <c r="I102" s="54"/>
      <c r="J102" s="54"/>
      <c r="K102" s="47"/>
      <c r="L102" s="119"/>
      <c r="M102" s="54"/>
      <c r="N102" s="54"/>
      <c r="O102" s="47"/>
      <c r="P102" s="119"/>
      <c r="Q102" s="54"/>
      <c r="R102" s="180"/>
    </row>
    <row r="103" spans="1:18" s="141" customFormat="1" ht="15" x14ac:dyDescent="0.25">
      <c r="A103" s="25"/>
      <c r="B103" s="208" t="s">
        <v>117</v>
      </c>
      <c r="C103" s="64">
        <f t="shared" si="36"/>
        <v>0</v>
      </c>
      <c r="D103" s="64">
        <f t="shared" si="33"/>
        <v>0</v>
      </c>
      <c r="E103" s="64">
        <f t="shared" si="34"/>
        <v>0</v>
      </c>
      <c r="F103" s="64">
        <f t="shared" si="35"/>
        <v>0</v>
      </c>
      <c r="G103" s="47"/>
      <c r="H103" s="123"/>
      <c r="I103" s="54"/>
      <c r="J103" s="54"/>
      <c r="K103" s="47"/>
      <c r="L103" s="119"/>
      <c r="M103" s="54"/>
      <c r="N103" s="54"/>
      <c r="O103" s="47"/>
      <c r="P103" s="119"/>
      <c r="Q103" s="54"/>
      <c r="R103" s="180"/>
    </row>
    <row r="104" spans="1:18" s="38" customFormat="1" x14ac:dyDescent="0.2">
      <c r="A104" s="25"/>
      <c r="B104" s="48" t="s">
        <v>118</v>
      </c>
      <c r="C104" s="64">
        <f t="shared" si="36"/>
        <v>0</v>
      </c>
      <c r="D104" s="64">
        <f t="shared" si="33"/>
        <v>0</v>
      </c>
      <c r="E104" s="64">
        <f t="shared" si="34"/>
        <v>0</v>
      </c>
      <c r="F104" s="64">
        <f t="shared" si="35"/>
        <v>0</v>
      </c>
      <c r="G104" s="54"/>
      <c r="H104" s="123"/>
      <c r="I104" s="54"/>
      <c r="J104" s="54"/>
      <c r="K104" s="54"/>
      <c r="L104" s="119"/>
      <c r="M104" s="54"/>
      <c r="N104" s="54"/>
      <c r="O104" s="54"/>
      <c r="P104" s="119"/>
      <c r="Q104" s="54"/>
      <c r="R104" s="180"/>
    </row>
    <row r="105" spans="1:18" s="141" customFormat="1" x14ac:dyDescent="0.2">
      <c r="A105" s="143"/>
      <c r="B105" s="205" t="s">
        <v>119</v>
      </c>
      <c r="C105" s="64">
        <f t="shared" si="32"/>
        <v>0</v>
      </c>
      <c r="D105" s="64">
        <f t="shared" si="33"/>
        <v>0</v>
      </c>
      <c r="E105" s="64">
        <f t="shared" si="34"/>
        <v>0</v>
      </c>
      <c r="F105" s="64">
        <f t="shared" si="35"/>
        <v>0</v>
      </c>
      <c r="G105" s="54"/>
      <c r="H105" s="119"/>
      <c r="I105" s="54"/>
      <c r="J105" s="54"/>
      <c r="K105" s="54"/>
      <c r="L105" s="119"/>
      <c r="M105" s="54"/>
      <c r="N105" s="54"/>
      <c r="O105" s="54"/>
      <c r="P105" s="119"/>
      <c r="Q105" s="54"/>
      <c r="R105" s="180"/>
    </row>
    <row r="106" spans="1:18" s="141" customFormat="1" x14ac:dyDescent="0.2">
      <c r="A106" s="143"/>
      <c r="B106" s="48" t="s">
        <v>120</v>
      </c>
      <c r="C106" s="64">
        <f t="shared" si="32"/>
        <v>0</v>
      </c>
      <c r="D106" s="64">
        <f t="shared" si="33"/>
        <v>0</v>
      </c>
      <c r="E106" s="64">
        <f t="shared" si="34"/>
        <v>0</v>
      </c>
      <c r="F106" s="64">
        <f t="shared" si="35"/>
        <v>0</v>
      </c>
      <c r="G106" s="54"/>
      <c r="H106" s="119"/>
      <c r="I106" s="54"/>
      <c r="J106" s="54"/>
      <c r="K106" s="54"/>
      <c r="L106" s="119"/>
      <c r="M106" s="54"/>
      <c r="N106" s="54"/>
      <c r="O106" s="54"/>
      <c r="P106" s="119"/>
      <c r="Q106" s="54"/>
      <c r="R106" s="180"/>
    </row>
    <row r="107" spans="1:18" s="38" customFormat="1" ht="25.5" x14ac:dyDescent="0.2">
      <c r="A107" s="25"/>
      <c r="B107" s="320" t="s">
        <v>122</v>
      </c>
      <c r="C107" s="64">
        <f t="shared" si="32"/>
        <v>0</v>
      </c>
      <c r="D107" s="64">
        <f t="shared" si="33"/>
        <v>0</v>
      </c>
      <c r="E107" s="64">
        <f t="shared" si="34"/>
        <v>0</v>
      </c>
      <c r="F107" s="64">
        <f t="shared" si="35"/>
        <v>0</v>
      </c>
      <c r="G107" s="54"/>
      <c r="H107" s="119"/>
      <c r="I107" s="54"/>
      <c r="J107" s="54"/>
      <c r="K107" s="54"/>
      <c r="L107" s="119"/>
      <c r="M107" s="54"/>
      <c r="N107" s="54"/>
      <c r="O107" s="54"/>
      <c r="P107" s="119"/>
      <c r="Q107" s="54"/>
      <c r="R107" s="180"/>
    </row>
    <row r="108" spans="1:18" s="38" customFormat="1" ht="25.5" x14ac:dyDescent="0.2">
      <c r="A108" s="25"/>
      <c r="B108" s="209" t="s">
        <v>124</v>
      </c>
      <c r="C108" s="64">
        <f t="shared" si="32"/>
        <v>0</v>
      </c>
      <c r="D108" s="64">
        <f t="shared" si="33"/>
        <v>0</v>
      </c>
      <c r="E108" s="64">
        <f t="shared" si="34"/>
        <v>0</v>
      </c>
      <c r="F108" s="64">
        <f t="shared" si="35"/>
        <v>0</v>
      </c>
      <c r="G108" s="54"/>
      <c r="H108" s="119"/>
      <c r="I108" s="54"/>
      <c r="J108" s="54"/>
      <c r="K108" s="54"/>
      <c r="L108" s="119"/>
      <c r="M108" s="54"/>
      <c r="N108" s="54"/>
      <c r="O108" s="54"/>
      <c r="P108" s="119"/>
      <c r="Q108" s="54"/>
      <c r="R108" s="180"/>
    </row>
    <row r="109" spans="1:18" s="38" customFormat="1" ht="25.5" x14ac:dyDescent="0.2">
      <c r="A109" s="25"/>
      <c r="B109" s="320" t="s">
        <v>126</v>
      </c>
      <c r="C109" s="64">
        <f t="shared" si="32"/>
        <v>0</v>
      </c>
      <c r="D109" s="64">
        <f t="shared" si="33"/>
        <v>0</v>
      </c>
      <c r="E109" s="64">
        <f t="shared" si="34"/>
        <v>0</v>
      </c>
      <c r="F109" s="64">
        <f t="shared" si="35"/>
        <v>0</v>
      </c>
      <c r="G109" s="54"/>
      <c r="H109" s="119"/>
      <c r="I109" s="54"/>
      <c r="J109" s="54"/>
      <c r="K109" s="54"/>
      <c r="L109" s="119"/>
      <c r="M109" s="54"/>
      <c r="N109" s="54"/>
      <c r="O109" s="54"/>
      <c r="P109" s="119"/>
      <c r="Q109" s="54"/>
      <c r="R109" s="180"/>
    </row>
    <row r="110" spans="1:18" s="38" customFormat="1" ht="25.5" x14ac:dyDescent="0.2">
      <c r="A110" s="25"/>
      <c r="B110" s="320" t="s">
        <v>128</v>
      </c>
      <c r="C110" s="64">
        <f>G110+K110+O110</f>
        <v>0</v>
      </c>
      <c r="D110" s="64">
        <f>H110+L110+P110</f>
        <v>0</v>
      </c>
      <c r="E110" s="64">
        <f>I110+M110+Q110</f>
        <v>0</v>
      </c>
      <c r="F110" s="64">
        <f>J110+N110+R110</f>
        <v>0</v>
      </c>
      <c r="G110" s="54"/>
      <c r="H110" s="119"/>
      <c r="I110" s="54"/>
      <c r="J110" s="54"/>
      <c r="K110" s="54"/>
      <c r="L110" s="119"/>
      <c r="M110" s="54"/>
      <c r="N110" s="54"/>
      <c r="O110" s="54"/>
      <c r="P110" s="119"/>
      <c r="Q110" s="54"/>
      <c r="R110" s="180"/>
    </row>
    <row r="111" spans="1:18" s="38" customFormat="1" x14ac:dyDescent="0.2">
      <c r="A111" s="25"/>
      <c r="B111" s="320" t="s">
        <v>130</v>
      </c>
      <c r="C111" s="64">
        <f t="shared" si="32"/>
        <v>0</v>
      </c>
      <c r="D111" s="64">
        <f t="shared" si="33"/>
        <v>0</v>
      </c>
      <c r="E111" s="64">
        <f t="shared" si="34"/>
        <v>0</v>
      </c>
      <c r="F111" s="64">
        <f t="shared" si="35"/>
        <v>0</v>
      </c>
      <c r="G111" s="54"/>
      <c r="H111" s="119"/>
      <c r="I111" s="54"/>
      <c r="J111" s="54"/>
      <c r="K111" s="54"/>
      <c r="L111" s="119"/>
      <c r="M111" s="54"/>
      <c r="N111" s="54"/>
      <c r="O111" s="54"/>
      <c r="P111" s="119"/>
      <c r="Q111" s="54"/>
      <c r="R111" s="180"/>
    </row>
    <row r="112" spans="1:18" s="38" customFormat="1" x14ac:dyDescent="0.2">
      <c r="A112" s="25"/>
      <c r="B112" s="320" t="s">
        <v>280</v>
      </c>
      <c r="C112" s="64">
        <f t="shared" ref="C112:F114" si="37">G112+K112+O112</f>
        <v>0</v>
      </c>
      <c r="D112" s="64">
        <f t="shared" si="37"/>
        <v>0</v>
      </c>
      <c r="E112" s="64">
        <f t="shared" si="37"/>
        <v>0</v>
      </c>
      <c r="F112" s="64">
        <f t="shared" si="37"/>
        <v>0</v>
      </c>
      <c r="G112" s="54"/>
      <c r="H112" s="119"/>
      <c r="I112" s="54"/>
      <c r="J112" s="54"/>
      <c r="K112" s="54"/>
      <c r="L112" s="119"/>
      <c r="M112" s="54"/>
      <c r="N112" s="54"/>
      <c r="O112" s="54"/>
      <c r="P112" s="119"/>
      <c r="Q112" s="54"/>
      <c r="R112" s="180"/>
    </row>
    <row r="113" spans="1:18" s="38" customFormat="1" x14ac:dyDescent="0.2">
      <c r="A113" s="25"/>
      <c r="B113" s="320" t="s">
        <v>133</v>
      </c>
      <c r="C113" s="64">
        <f t="shared" si="37"/>
        <v>0</v>
      </c>
      <c r="D113" s="64">
        <f t="shared" si="37"/>
        <v>0</v>
      </c>
      <c r="E113" s="64">
        <f t="shared" si="37"/>
        <v>0</v>
      </c>
      <c r="F113" s="64">
        <f t="shared" si="37"/>
        <v>0</v>
      </c>
      <c r="G113" s="54"/>
      <c r="H113" s="119"/>
      <c r="I113" s="54"/>
      <c r="J113" s="54"/>
      <c r="K113" s="54"/>
      <c r="L113" s="119"/>
      <c r="M113" s="54"/>
      <c r="N113" s="54"/>
      <c r="O113" s="54"/>
      <c r="P113" s="119"/>
      <c r="Q113" s="54"/>
      <c r="R113" s="180"/>
    </row>
    <row r="114" spans="1:18" s="141" customFormat="1" x14ac:dyDescent="0.2">
      <c r="A114" s="25"/>
      <c r="B114" s="208" t="s">
        <v>134</v>
      </c>
      <c r="C114" s="64">
        <f t="shared" si="37"/>
        <v>0</v>
      </c>
      <c r="D114" s="64">
        <f t="shared" si="37"/>
        <v>0</v>
      </c>
      <c r="E114" s="64">
        <f t="shared" si="37"/>
        <v>0</v>
      </c>
      <c r="F114" s="64">
        <f t="shared" si="37"/>
        <v>0</v>
      </c>
      <c r="G114" s="54"/>
      <c r="H114" s="119"/>
      <c r="I114" s="54"/>
      <c r="J114" s="54"/>
      <c r="K114" s="54"/>
      <c r="L114" s="119"/>
      <c r="M114" s="54"/>
      <c r="N114" s="54"/>
      <c r="O114" s="54"/>
      <c r="P114" s="119"/>
      <c r="Q114" s="54"/>
      <c r="R114" s="180"/>
    </row>
    <row r="115" spans="1:18" s="141" customFormat="1" x14ac:dyDescent="0.2">
      <c r="A115" s="25"/>
      <c r="B115" s="208" t="s">
        <v>135</v>
      </c>
      <c r="C115" s="64"/>
      <c r="D115" s="64"/>
      <c r="E115" s="64"/>
      <c r="F115" s="64"/>
      <c r="G115" s="54"/>
      <c r="H115" s="119"/>
      <c r="I115" s="54"/>
      <c r="J115" s="54"/>
      <c r="K115" s="54"/>
      <c r="L115" s="119"/>
      <c r="M115" s="54"/>
      <c r="N115" s="54"/>
      <c r="O115" s="54"/>
      <c r="P115" s="119"/>
      <c r="Q115" s="54"/>
      <c r="R115" s="180"/>
    </row>
    <row r="116" spans="1:18" s="141" customFormat="1" ht="25.5" x14ac:dyDescent="0.2">
      <c r="A116" s="25"/>
      <c r="B116" s="208" t="s">
        <v>136</v>
      </c>
      <c r="C116" s="64"/>
      <c r="D116" s="64">
        <f>H116+L116+P116</f>
        <v>0</v>
      </c>
      <c r="E116" s="64">
        <f>I116+M116+Q116</f>
        <v>0</v>
      </c>
      <c r="F116" s="64">
        <f>J116+N116+R116</f>
        <v>0</v>
      </c>
      <c r="G116" s="54"/>
      <c r="H116" s="119"/>
      <c r="I116" s="54"/>
      <c r="J116" s="54"/>
      <c r="K116" s="54"/>
      <c r="L116" s="119"/>
      <c r="M116" s="54"/>
      <c r="N116" s="54"/>
      <c r="O116" s="54"/>
      <c r="P116" s="119"/>
      <c r="Q116" s="54"/>
      <c r="R116" s="180"/>
    </row>
    <row r="117" spans="1:18" s="38" customFormat="1" x14ac:dyDescent="0.2">
      <c r="A117" s="25"/>
      <c r="B117" s="205" t="s">
        <v>137</v>
      </c>
      <c r="C117" s="64">
        <f t="shared" ref="C117:F122" si="38">G117+K117+O117</f>
        <v>0</v>
      </c>
      <c r="D117" s="64">
        <f t="shared" si="38"/>
        <v>0</v>
      </c>
      <c r="E117" s="64">
        <f t="shared" si="38"/>
        <v>0</v>
      </c>
      <c r="F117" s="64">
        <f t="shared" si="38"/>
        <v>0</v>
      </c>
      <c r="G117" s="54"/>
      <c r="H117" s="119"/>
      <c r="I117" s="54"/>
      <c r="J117" s="54"/>
      <c r="K117" s="54"/>
      <c r="L117" s="119"/>
      <c r="M117" s="54"/>
      <c r="N117" s="54"/>
      <c r="O117" s="54"/>
      <c r="P117" s="119"/>
      <c r="Q117" s="54"/>
      <c r="R117" s="180"/>
    </row>
    <row r="118" spans="1:18" s="38" customFormat="1" x14ac:dyDescent="0.2">
      <c r="A118" s="25"/>
      <c r="B118" s="205" t="s">
        <v>138</v>
      </c>
      <c r="C118" s="64">
        <f t="shared" si="38"/>
        <v>0</v>
      </c>
      <c r="D118" s="64">
        <f t="shared" si="38"/>
        <v>0</v>
      </c>
      <c r="E118" s="64">
        <f t="shared" si="38"/>
        <v>0</v>
      </c>
      <c r="F118" s="64">
        <f t="shared" si="38"/>
        <v>0</v>
      </c>
      <c r="G118" s="54"/>
      <c r="H118" s="119"/>
      <c r="I118" s="54"/>
      <c r="J118" s="54"/>
      <c r="K118" s="54"/>
      <c r="L118" s="119"/>
      <c r="M118" s="54"/>
      <c r="N118" s="54"/>
      <c r="O118" s="54"/>
      <c r="P118" s="119"/>
      <c r="Q118" s="54"/>
      <c r="R118" s="180"/>
    </row>
    <row r="119" spans="1:18" s="38" customFormat="1" x14ac:dyDescent="0.2">
      <c r="A119" s="25"/>
      <c r="B119" s="48" t="s">
        <v>139</v>
      </c>
      <c r="C119" s="64">
        <f t="shared" si="38"/>
        <v>0</v>
      </c>
      <c r="D119" s="64">
        <f t="shared" si="38"/>
        <v>0</v>
      </c>
      <c r="E119" s="64">
        <f t="shared" si="38"/>
        <v>0</v>
      </c>
      <c r="F119" s="64">
        <f t="shared" si="38"/>
        <v>0</v>
      </c>
      <c r="G119" s="54"/>
      <c r="H119" s="119"/>
      <c r="I119" s="54"/>
      <c r="J119" s="54"/>
      <c r="K119" s="54"/>
      <c r="L119" s="119"/>
      <c r="M119" s="54"/>
      <c r="N119" s="54"/>
      <c r="O119" s="54"/>
      <c r="P119" s="119"/>
      <c r="Q119" s="54"/>
      <c r="R119" s="180"/>
    </row>
    <row r="120" spans="1:18" s="38" customFormat="1" x14ac:dyDescent="0.2">
      <c r="A120" s="25"/>
      <c r="B120" s="48" t="s">
        <v>140</v>
      </c>
      <c r="C120" s="64">
        <f t="shared" si="38"/>
        <v>0</v>
      </c>
      <c r="D120" s="64">
        <f t="shared" si="38"/>
        <v>0</v>
      </c>
      <c r="E120" s="64">
        <f t="shared" si="38"/>
        <v>0</v>
      </c>
      <c r="F120" s="64">
        <f t="shared" si="38"/>
        <v>0</v>
      </c>
      <c r="G120" s="54"/>
      <c r="H120" s="119"/>
      <c r="I120" s="54"/>
      <c r="J120" s="54"/>
      <c r="K120" s="54"/>
      <c r="L120" s="119"/>
      <c r="M120" s="54"/>
      <c r="N120" s="54"/>
      <c r="O120" s="54"/>
      <c r="P120" s="119"/>
      <c r="Q120" s="54"/>
      <c r="R120" s="180"/>
    </row>
    <row r="121" spans="1:18" s="38" customFormat="1" x14ac:dyDescent="0.2">
      <c r="A121" s="25"/>
      <c r="B121" s="48" t="s">
        <v>141</v>
      </c>
      <c r="C121" s="64">
        <f t="shared" si="38"/>
        <v>0</v>
      </c>
      <c r="D121" s="64">
        <f t="shared" si="38"/>
        <v>0</v>
      </c>
      <c r="E121" s="64">
        <f t="shared" si="38"/>
        <v>0</v>
      </c>
      <c r="F121" s="64">
        <f t="shared" si="38"/>
        <v>0</v>
      </c>
      <c r="G121" s="54"/>
      <c r="H121" s="119"/>
      <c r="I121" s="54"/>
      <c r="J121" s="54"/>
      <c r="K121" s="54"/>
      <c r="L121" s="119"/>
      <c r="M121" s="54"/>
      <c r="N121" s="54"/>
      <c r="O121" s="54"/>
      <c r="P121" s="119"/>
      <c r="Q121" s="54"/>
      <c r="R121" s="180"/>
    </row>
    <row r="122" spans="1:18" s="38" customFormat="1" x14ac:dyDescent="0.2">
      <c r="A122" s="25"/>
      <c r="B122" s="48" t="s">
        <v>142</v>
      </c>
      <c r="C122" s="64">
        <f t="shared" si="38"/>
        <v>0</v>
      </c>
      <c r="D122" s="64">
        <f t="shared" si="38"/>
        <v>0</v>
      </c>
      <c r="E122" s="64">
        <f t="shared" si="38"/>
        <v>0</v>
      </c>
      <c r="F122" s="64">
        <f t="shared" si="38"/>
        <v>0</v>
      </c>
      <c r="G122" s="54"/>
      <c r="H122" s="123"/>
      <c r="I122" s="54"/>
      <c r="J122" s="54"/>
      <c r="K122" s="54"/>
      <c r="L122" s="119"/>
      <c r="M122" s="54"/>
      <c r="N122" s="54"/>
      <c r="O122" s="54"/>
      <c r="P122" s="119"/>
      <c r="Q122" s="54"/>
      <c r="R122" s="180"/>
    </row>
    <row r="123" spans="1:18" s="38" customFormat="1" x14ac:dyDescent="0.2">
      <c r="A123" s="25"/>
      <c r="B123" s="205" t="s">
        <v>143</v>
      </c>
      <c r="C123" s="64">
        <f t="shared" ref="C123:F123" si="39">G123+K123+O123</f>
        <v>0</v>
      </c>
      <c r="D123" s="64">
        <f t="shared" si="39"/>
        <v>0</v>
      </c>
      <c r="E123" s="64">
        <f t="shared" si="39"/>
        <v>0</v>
      </c>
      <c r="F123" s="64">
        <f t="shared" si="39"/>
        <v>0</v>
      </c>
      <c r="G123" s="54"/>
      <c r="H123" s="119"/>
      <c r="I123" s="54"/>
      <c r="J123" s="54"/>
      <c r="K123" s="54"/>
      <c r="L123" s="119"/>
      <c r="M123" s="54"/>
      <c r="N123" s="54"/>
      <c r="O123" s="54"/>
      <c r="P123" s="119"/>
      <c r="Q123" s="54"/>
      <c r="R123" s="180"/>
    </row>
    <row r="124" spans="1:18" s="38" customFormat="1" x14ac:dyDescent="0.2">
      <c r="A124" s="25"/>
      <c r="B124" s="48" t="s">
        <v>144</v>
      </c>
      <c r="C124" s="64">
        <f t="shared" si="32"/>
        <v>0</v>
      </c>
      <c r="D124" s="64">
        <f t="shared" si="33"/>
        <v>0</v>
      </c>
      <c r="E124" s="64">
        <f t="shared" si="34"/>
        <v>0</v>
      </c>
      <c r="F124" s="64">
        <f t="shared" si="35"/>
        <v>0</v>
      </c>
      <c r="G124" s="54"/>
      <c r="H124" s="119"/>
      <c r="I124" s="54"/>
      <c r="J124" s="54"/>
      <c r="K124" s="54"/>
      <c r="L124" s="119"/>
      <c r="M124" s="54"/>
      <c r="N124" s="54"/>
      <c r="O124" s="54"/>
      <c r="P124" s="119"/>
      <c r="Q124" s="54"/>
      <c r="R124" s="180"/>
    </row>
    <row r="125" spans="1:18" s="38" customFormat="1" ht="38.25" x14ac:dyDescent="0.2">
      <c r="A125" s="25"/>
      <c r="B125" s="205" t="s">
        <v>145</v>
      </c>
      <c r="C125" s="64">
        <f>G125+K125+O125</f>
        <v>0</v>
      </c>
      <c r="D125" s="64">
        <f>H125+L125+P125</f>
        <v>0</v>
      </c>
      <c r="E125" s="64">
        <f>I125+M125+Q125</f>
        <v>0</v>
      </c>
      <c r="F125" s="64">
        <f>J125+N125+R125</f>
        <v>0</v>
      </c>
      <c r="G125" s="54"/>
      <c r="H125" s="119"/>
      <c r="I125" s="54"/>
      <c r="J125" s="54"/>
      <c r="K125" s="54"/>
      <c r="L125" s="119"/>
      <c r="M125" s="54"/>
      <c r="N125" s="54"/>
      <c r="O125" s="54"/>
      <c r="P125" s="119"/>
      <c r="Q125" s="54"/>
      <c r="R125" s="180"/>
    </row>
    <row r="126" spans="1:18" s="38" customFormat="1" x14ac:dyDescent="0.2">
      <c r="A126" s="25"/>
      <c r="B126" s="205" t="s">
        <v>146</v>
      </c>
      <c r="C126" s="64"/>
      <c r="D126" s="64"/>
      <c r="E126" s="64"/>
      <c r="F126" s="64"/>
      <c r="G126" s="54"/>
      <c r="H126" s="119"/>
      <c r="I126" s="54"/>
      <c r="J126" s="54"/>
      <c r="K126" s="54"/>
      <c r="L126" s="119"/>
      <c r="M126" s="54"/>
      <c r="N126" s="54"/>
      <c r="O126" s="54"/>
      <c r="P126" s="119"/>
      <c r="Q126" s="54"/>
      <c r="R126" s="180"/>
    </row>
    <row r="127" spans="1:18" s="38" customFormat="1" x14ac:dyDescent="0.2">
      <c r="A127" s="25"/>
      <c r="B127" s="205" t="s">
        <v>147</v>
      </c>
      <c r="C127" s="64"/>
      <c r="D127" s="64"/>
      <c r="E127" s="64"/>
      <c r="F127" s="64"/>
      <c r="G127" s="54"/>
      <c r="H127" s="119"/>
      <c r="I127" s="54"/>
      <c r="J127" s="54"/>
      <c r="K127" s="54"/>
      <c r="L127" s="119"/>
      <c r="M127" s="54"/>
      <c r="N127" s="54"/>
      <c r="O127" s="54"/>
      <c r="P127" s="119"/>
      <c r="Q127" s="54"/>
      <c r="R127" s="180"/>
    </row>
    <row r="128" spans="1:18" s="38" customFormat="1" x14ac:dyDescent="0.2">
      <c r="A128" s="25"/>
      <c r="B128" s="205" t="s">
        <v>148</v>
      </c>
      <c r="C128" s="64"/>
      <c r="D128" s="64"/>
      <c r="E128" s="64"/>
      <c r="F128" s="64"/>
      <c r="G128" s="54"/>
      <c r="H128" s="119"/>
      <c r="I128" s="54"/>
      <c r="J128" s="54"/>
      <c r="K128" s="54"/>
      <c r="L128" s="119"/>
      <c r="M128" s="54"/>
      <c r="N128" s="54"/>
      <c r="O128" s="54"/>
      <c r="P128" s="119"/>
      <c r="Q128" s="54"/>
      <c r="R128" s="180"/>
    </row>
    <row r="129" spans="1:18" s="53" customFormat="1" ht="25.5" x14ac:dyDescent="0.2">
      <c r="A129" s="25"/>
      <c r="B129" s="205" t="s">
        <v>149</v>
      </c>
      <c r="C129" s="64">
        <f t="shared" ref="C129:C132" si="40">G129+K129+O129</f>
        <v>0</v>
      </c>
      <c r="D129" s="64">
        <f t="shared" ref="D129:D132" si="41">H129+L129+P129</f>
        <v>0</v>
      </c>
      <c r="E129" s="64">
        <f t="shared" ref="E129:E132" si="42">I129+M129+Q129</f>
        <v>0</v>
      </c>
      <c r="F129" s="64">
        <f t="shared" ref="F129:F132" si="43">J129+N129+R129</f>
        <v>0</v>
      </c>
      <c r="G129" s="54"/>
      <c r="H129" s="119"/>
      <c r="I129" s="54"/>
      <c r="J129" s="54"/>
      <c r="K129" s="54"/>
      <c r="L129" s="119"/>
      <c r="M129" s="54"/>
      <c r="N129" s="54"/>
      <c r="O129" s="54"/>
      <c r="P129" s="119"/>
      <c r="Q129" s="54"/>
      <c r="R129" s="180"/>
    </row>
    <row r="130" spans="1:18" s="38" customFormat="1" x14ac:dyDescent="0.2">
      <c r="A130" s="25"/>
      <c r="B130" s="205" t="s">
        <v>150</v>
      </c>
      <c r="C130" s="64">
        <f t="shared" si="40"/>
        <v>0</v>
      </c>
      <c r="D130" s="64">
        <f t="shared" si="41"/>
        <v>0</v>
      </c>
      <c r="E130" s="64">
        <f t="shared" si="42"/>
        <v>0</v>
      </c>
      <c r="F130" s="64">
        <f t="shared" si="43"/>
        <v>0</v>
      </c>
      <c r="G130" s="54"/>
      <c r="H130" s="119"/>
      <c r="I130" s="54"/>
      <c r="J130" s="54"/>
      <c r="K130" s="54"/>
      <c r="L130" s="119"/>
      <c r="M130" s="54"/>
      <c r="N130" s="54"/>
      <c r="O130" s="54"/>
      <c r="P130" s="119"/>
      <c r="Q130" s="54"/>
      <c r="R130" s="180"/>
    </row>
    <row r="131" spans="1:18" s="38" customFormat="1" x14ac:dyDescent="0.2">
      <c r="A131" s="25"/>
      <c r="B131" s="205" t="s">
        <v>151</v>
      </c>
      <c r="C131" s="64">
        <f t="shared" si="40"/>
        <v>0</v>
      </c>
      <c r="D131" s="64">
        <f t="shared" si="41"/>
        <v>0</v>
      </c>
      <c r="E131" s="64">
        <f t="shared" si="42"/>
        <v>0</v>
      </c>
      <c r="F131" s="64">
        <f t="shared" si="43"/>
        <v>0</v>
      </c>
      <c r="G131" s="54"/>
      <c r="H131" s="119"/>
      <c r="I131" s="54"/>
      <c r="J131" s="54"/>
      <c r="K131" s="54"/>
      <c r="L131" s="119"/>
      <c r="M131" s="54"/>
      <c r="N131" s="54"/>
      <c r="O131" s="54"/>
      <c r="P131" s="119"/>
      <c r="Q131" s="54"/>
      <c r="R131" s="180"/>
    </row>
    <row r="132" spans="1:18" s="38" customFormat="1" ht="13.5" thickBot="1" x14ac:dyDescent="0.25">
      <c r="A132" s="187"/>
      <c r="B132" s="188" t="s">
        <v>152</v>
      </c>
      <c r="C132" s="241">
        <f t="shared" si="40"/>
        <v>9</v>
      </c>
      <c r="D132" s="241">
        <f t="shared" si="41"/>
        <v>420000</v>
      </c>
      <c r="E132" s="241">
        <f t="shared" si="42"/>
        <v>0</v>
      </c>
      <c r="F132" s="241">
        <f t="shared" si="43"/>
        <v>0</v>
      </c>
      <c r="G132" s="202">
        <v>6</v>
      </c>
      <c r="H132" s="189">
        <f>G132*40000</f>
        <v>240000</v>
      </c>
      <c r="I132" s="202"/>
      <c r="J132" s="202"/>
      <c r="K132" s="202">
        <v>1</v>
      </c>
      <c r="L132" s="189">
        <f>K132*60000</f>
        <v>60000</v>
      </c>
      <c r="M132" s="202"/>
      <c r="N132" s="202"/>
      <c r="O132" s="202">
        <v>2</v>
      </c>
      <c r="P132" s="189">
        <f>O132*60000</f>
        <v>120000</v>
      </c>
      <c r="Q132" s="202"/>
      <c r="R132" s="191"/>
    </row>
    <row r="133" spans="1:18" ht="13.5" thickBot="1" x14ac:dyDescent="0.25">
      <c r="A133" s="171"/>
      <c r="B133" s="172" t="s">
        <v>160</v>
      </c>
      <c r="C133" s="173">
        <f t="shared" ref="C133:R133" si="44">SUM(C94:C132)</f>
        <v>9</v>
      </c>
      <c r="D133" s="173">
        <f t="shared" si="44"/>
        <v>420000</v>
      </c>
      <c r="E133" s="173">
        <f t="shared" si="44"/>
        <v>0</v>
      </c>
      <c r="F133" s="173">
        <f t="shared" si="44"/>
        <v>0</v>
      </c>
      <c r="G133" s="173">
        <f t="shared" si="44"/>
        <v>6</v>
      </c>
      <c r="H133" s="173">
        <f t="shared" si="44"/>
        <v>240000</v>
      </c>
      <c r="I133" s="173">
        <f t="shared" si="44"/>
        <v>0</v>
      </c>
      <c r="J133" s="173">
        <f t="shared" si="44"/>
        <v>0</v>
      </c>
      <c r="K133" s="173">
        <f t="shared" si="44"/>
        <v>1</v>
      </c>
      <c r="L133" s="173">
        <f t="shared" si="44"/>
        <v>60000</v>
      </c>
      <c r="M133" s="173">
        <f t="shared" si="44"/>
        <v>0</v>
      </c>
      <c r="N133" s="173">
        <f t="shared" si="44"/>
        <v>0</v>
      </c>
      <c r="O133" s="173">
        <f t="shared" si="44"/>
        <v>2</v>
      </c>
      <c r="P133" s="173">
        <f t="shared" si="44"/>
        <v>120000</v>
      </c>
      <c r="Q133" s="173">
        <f t="shared" si="44"/>
        <v>0</v>
      </c>
      <c r="R133" s="174">
        <f t="shared" si="44"/>
        <v>0</v>
      </c>
    </row>
    <row r="134" spans="1:18" s="38" customFormat="1" x14ac:dyDescent="0.2">
      <c r="A134" s="210" t="s">
        <v>11</v>
      </c>
      <c r="B134" s="211" t="s">
        <v>153</v>
      </c>
      <c r="C134" s="213"/>
      <c r="D134" s="213"/>
      <c r="E134" s="213"/>
      <c r="F134" s="213"/>
      <c r="G134" s="213"/>
      <c r="H134" s="178"/>
      <c r="I134" s="213"/>
      <c r="J134" s="213"/>
      <c r="K134" s="213"/>
      <c r="L134" s="178"/>
      <c r="M134" s="213"/>
      <c r="N134" s="213"/>
      <c r="O134" s="213"/>
      <c r="P134" s="178"/>
      <c r="Q134" s="213"/>
      <c r="R134" s="214"/>
    </row>
    <row r="135" spans="1:18" s="38" customFormat="1" ht="25.5" x14ac:dyDescent="0.25">
      <c r="A135" s="25"/>
      <c r="B135" s="205" t="s">
        <v>163</v>
      </c>
      <c r="C135" s="64">
        <f t="shared" ref="C135:C165" si="45">G135+K135+O135</f>
        <v>3</v>
      </c>
      <c r="D135" s="64">
        <f t="shared" ref="D135:D165" si="46">H135+L135+P135</f>
        <v>610000</v>
      </c>
      <c r="E135" s="64">
        <f t="shared" ref="E135:E165" si="47">I135+M135+Q135</f>
        <v>0</v>
      </c>
      <c r="F135" s="64">
        <f t="shared" ref="F135:F165" si="48">J135+N135+R135</f>
        <v>0</v>
      </c>
      <c r="G135" s="47">
        <v>1</v>
      </c>
      <c r="H135" s="119">
        <f>G135*30000</f>
        <v>30000</v>
      </c>
      <c r="I135" s="54"/>
      <c r="J135" s="54"/>
      <c r="K135" s="47">
        <v>1</v>
      </c>
      <c r="L135" s="119">
        <f>K135*120000</f>
        <v>120000</v>
      </c>
      <c r="M135" s="54"/>
      <c r="N135" s="54"/>
      <c r="O135" s="47">
        <v>1</v>
      </c>
      <c r="P135" s="119">
        <f>O135*460000</f>
        <v>460000</v>
      </c>
      <c r="Q135" s="54"/>
      <c r="R135" s="180"/>
    </row>
    <row r="136" spans="1:18" s="38" customFormat="1" ht="15" x14ac:dyDescent="0.25">
      <c r="A136" s="25"/>
      <c r="B136" s="205" t="s">
        <v>164</v>
      </c>
      <c r="C136" s="64">
        <f t="shared" si="45"/>
        <v>20</v>
      </c>
      <c r="D136" s="64">
        <f t="shared" si="46"/>
        <v>304000</v>
      </c>
      <c r="E136" s="64">
        <f t="shared" si="47"/>
        <v>0</v>
      </c>
      <c r="F136" s="64">
        <f t="shared" si="48"/>
        <v>0</v>
      </c>
      <c r="G136" s="47"/>
      <c r="H136" s="123"/>
      <c r="I136" s="54"/>
      <c r="J136" s="54"/>
      <c r="K136" s="54"/>
      <c r="L136" s="119"/>
      <c r="M136" s="54"/>
      <c r="N136" s="54"/>
      <c r="O136" s="47">
        <v>20</v>
      </c>
      <c r="P136" s="119">
        <f>O136*15200</f>
        <v>304000</v>
      </c>
      <c r="Q136" s="54"/>
      <c r="R136" s="180"/>
    </row>
    <row r="137" spans="1:18" s="38" customFormat="1" ht="15" x14ac:dyDescent="0.25">
      <c r="A137" s="25"/>
      <c r="B137" s="205" t="s">
        <v>165</v>
      </c>
      <c r="C137" s="64">
        <f t="shared" si="45"/>
        <v>0</v>
      </c>
      <c r="D137" s="64">
        <f t="shared" si="46"/>
        <v>0</v>
      </c>
      <c r="E137" s="64">
        <f t="shared" si="47"/>
        <v>0</v>
      </c>
      <c r="F137" s="64">
        <f t="shared" si="48"/>
        <v>0</v>
      </c>
      <c r="G137" s="47"/>
      <c r="H137" s="123"/>
      <c r="I137" s="54"/>
      <c r="J137" s="54"/>
      <c r="K137" s="54"/>
      <c r="L137" s="119"/>
      <c r="M137" s="54"/>
      <c r="N137" s="54"/>
      <c r="O137" s="47"/>
      <c r="P137" s="119"/>
      <c r="Q137" s="54"/>
      <c r="R137" s="180"/>
    </row>
    <row r="138" spans="1:18" s="38" customFormat="1" ht="15" x14ac:dyDescent="0.25">
      <c r="A138" s="25"/>
      <c r="B138" s="205" t="s">
        <v>166</v>
      </c>
      <c r="C138" s="64">
        <f t="shared" si="45"/>
        <v>32</v>
      </c>
      <c r="D138" s="64">
        <f t="shared" si="46"/>
        <v>140000</v>
      </c>
      <c r="E138" s="64">
        <f t="shared" si="47"/>
        <v>0</v>
      </c>
      <c r="F138" s="64">
        <f t="shared" si="48"/>
        <v>0</v>
      </c>
      <c r="G138" s="47">
        <v>10</v>
      </c>
      <c r="H138" s="119">
        <f>G138*2000</f>
        <v>20000</v>
      </c>
      <c r="I138" s="54"/>
      <c r="J138" s="54"/>
      <c r="K138" s="47">
        <v>20</v>
      </c>
      <c r="L138" s="119">
        <f>K138*1000</f>
        <v>20000</v>
      </c>
      <c r="M138" s="54"/>
      <c r="N138" s="54"/>
      <c r="O138" s="47">
        <v>2</v>
      </c>
      <c r="P138" s="119">
        <f>O138*50000</f>
        <v>100000</v>
      </c>
      <c r="Q138" s="54"/>
      <c r="R138" s="180"/>
    </row>
    <row r="139" spans="1:18" s="38" customFormat="1" ht="25.5" x14ac:dyDescent="0.2">
      <c r="A139" s="25"/>
      <c r="B139" s="205" t="s">
        <v>167</v>
      </c>
      <c r="C139" s="64">
        <f t="shared" si="45"/>
        <v>0</v>
      </c>
      <c r="D139" s="64">
        <f t="shared" si="46"/>
        <v>0</v>
      </c>
      <c r="E139" s="64">
        <f t="shared" si="47"/>
        <v>0</v>
      </c>
      <c r="F139" s="64">
        <f t="shared" si="48"/>
        <v>0</v>
      </c>
      <c r="G139" s="54"/>
      <c r="H139" s="119"/>
      <c r="I139" s="54"/>
      <c r="J139" s="54"/>
      <c r="K139" s="54"/>
      <c r="L139" s="119"/>
      <c r="M139" s="54"/>
      <c r="N139" s="54"/>
      <c r="O139" s="54"/>
      <c r="P139" s="119"/>
      <c r="Q139" s="54"/>
      <c r="R139" s="180"/>
    </row>
    <row r="140" spans="1:18" s="38" customFormat="1" ht="15" x14ac:dyDescent="0.25">
      <c r="A140" s="25"/>
      <c r="B140" s="40" t="s">
        <v>168</v>
      </c>
      <c r="C140" s="64">
        <f t="shared" si="45"/>
        <v>0</v>
      </c>
      <c r="D140" s="64">
        <f t="shared" si="46"/>
        <v>0</v>
      </c>
      <c r="E140" s="64">
        <f t="shared" si="47"/>
        <v>0</v>
      </c>
      <c r="F140" s="64">
        <f t="shared" si="48"/>
        <v>0</v>
      </c>
      <c r="G140" s="47"/>
      <c r="H140" s="123"/>
      <c r="I140" s="54"/>
      <c r="J140" s="54"/>
      <c r="K140" s="47"/>
      <c r="L140" s="119"/>
      <c r="M140" s="54"/>
      <c r="N140" s="54"/>
      <c r="O140" s="47"/>
      <c r="P140" s="119"/>
      <c r="Q140" s="54"/>
      <c r="R140" s="180"/>
    </row>
    <row r="141" spans="1:18" s="38" customFormat="1" ht="15" x14ac:dyDescent="0.25">
      <c r="A141" s="25"/>
      <c r="B141" s="40" t="s">
        <v>169</v>
      </c>
      <c r="C141" s="64">
        <f t="shared" si="45"/>
        <v>3</v>
      </c>
      <c r="D141" s="64">
        <f t="shared" si="46"/>
        <v>440000</v>
      </c>
      <c r="E141" s="64">
        <f t="shared" si="47"/>
        <v>0</v>
      </c>
      <c r="F141" s="64">
        <f t="shared" si="48"/>
        <v>0</v>
      </c>
      <c r="G141" s="47">
        <v>1</v>
      </c>
      <c r="H141" s="119">
        <f>G141*120000</f>
        <v>120000</v>
      </c>
      <c r="I141" s="54"/>
      <c r="J141" s="54"/>
      <c r="K141" s="47">
        <v>1</v>
      </c>
      <c r="L141" s="119">
        <f>K141*120000</f>
        <v>120000</v>
      </c>
      <c r="M141" s="54"/>
      <c r="N141" s="54"/>
      <c r="O141" s="47">
        <v>1</v>
      </c>
      <c r="P141" s="119">
        <f>O141*200000</f>
        <v>200000</v>
      </c>
      <c r="Q141" s="54"/>
      <c r="R141" s="180"/>
    </row>
    <row r="142" spans="1:18" s="38" customFormat="1" x14ac:dyDescent="0.2">
      <c r="A142" s="25"/>
      <c r="B142" s="40" t="s">
        <v>170</v>
      </c>
      <c r="C142" s="64">
        <f t="shared" si="45"/>
        <v>0</v>
      </c>
      <c r="D142" s="64">
        <f t="shared" si="46"/>
        <v>0</v>
      </c>
      <c r="E142" s="64">
        <f t="shared" si="47"/>
        <v>0</v>
      </c>
      <c r="F142" s="64">
        <f t="shared" si="48"/>
        <v>0</v>
      </c>
      <c r="G142" s="54"/>
      <c r="H142" s="119"/>
      <c r="I142" s="54"/>
      <c r="J142" s="54"/>
      <c r="K142" s="54"/>
      <c r="L142" s="119"/>
      <c r="M142" s="54"/>
      <c r="N142" s="54"/>
      <c r="O142" s="54"/>
      <c r="P142" s="119"/>
      <c r="Q142" s="54"/>
      <c r="R142" s="180"/>
    </row>
    <row r="143" spans="1:18" s="38" customFormat="1" x14ac:dyDescent="0.2">
      <c r="A143" s="25"/>
      <c r="B143" s="40" t="s">
        <v>277</v>
      </c>
      <c r="C143" s="64"/>
      <c r="D143" s="64"/>
      <c r="E143" s="64"/>
      <c r="F143" s="64"/>
      <c r="G143" s="54"/>
      <c r="H143" s="119"/>
      <c r="I143" s="54"/>
      <c r="J143" s="54"/>
      <c r="K143" s="54"/>
      <c r="L143" s="119"/>
      <c r="M143" s="54"/>
      <c r="N143" s="54"/>
      <c r="O143" s="54"/>
      <c r="P143" s="119"/>
      <c r="Q143" s="54"/>
      <c r="R143" s="180"/>
    </row>
    <row r="144" spans="1:18" s="38" customFormat="1" x14ac:dyDescent="0.2">
      <c r="A144" s="25"/>
      <c r="B144" s="40" t="s">
        <v>278</v>
      </c>
      <c r="C144" s="64"/>
      <c r="D144" s="64"/>
      <c r="E144" s="64"/>
      <c r="F144" s="64"/>
      <c r="G144" s="54"/>
      <c r="H144" s="119"/>
      <c r="I144" s="54"/>
      <c r="J144" s="54"/>
      <c r="K144" s="54"/>
      <c r="L144" s="119"/>
      <c r="M144" s="54"/>
      <c r="N144" s="54"/>
      <c r="O144" s="54"/>
      <c r="P144" s="119"/>
      <c r="Q144" s="54"/>
      <c r="R144" s="180"/>
    </row>
    <row r="145" spans="1:18" s="38" customFormat="1" x14ac:dyDescent="0.2">
      <c r="A145" s="25"/>
      <c r="B145" s="40" t="s">
        <v>171</v>
      </c>
      <c r="C145" s="64">
        <f t="shared" si="45"/>
        <v>0</v>
      </c>
      <c r="D145" s="64">
        <f t="shared" si="46"/>
        <v>0</v>
      </c>
      <c r="E145" s="64">
        <f t="shared" si="47"/>
        <v>0</v>
      </c>
      <c r="F145" s="64">
        <f t="shared" si="48"/>
        <v>0</v>
      </c>
      <c r="G145" s="54"/>
      <c r="H145" s="119"/>
      <c r="I145" s="54"/>
      <c r="J145" s="54"/>
      <c r="K145" s="54"/>
      <c r="L145" s="119"/>
      <c r="M145" s="54"/>
      <c r="N145" s="54"/>
      <c r="O145" s="54"/>
      <c r="P145" s="119"/>
      <c r="Q145" s="54"/>
      <c r="R145" s="180"/>
    </row>
    <row r="146" spans="1:18" s="38" customFormat="1" x14ac:dyDescent="0.2">
      <c r="A146" s="25"/>
      <c r="B146" s="24" t="s">
        <v>172</v>
      </c>
      <c r="C146" s="64">
        <f t="shared" si="45"/>
        <v>0</v>
      </c>
      <c r="D146" s="64">
        <f t="shared" si="46"/>
        <v>0</v>
      </c>
      <c r="E146" s="64">
        <f t="shared" si="47"/>
        <v>0</v>
      </c>
      <c r="F146" s="64">
        <f t="shared" si="48"/>
        <v>0</v>
      </c>
      <c r="G146" s="54"/>
      <c r="H146" s="119"/>
      <c r="I146" s="54"/>
      <c r="J146" s="54"/>
      <c r="K146" s="54"/>
      <c r="L146" s="119"/>
      <c r="M146" s="54"/>
      <c r="N146" s="54"/>
      <c r="O146" s="54"/>
      <c r="P146" s="119"/>
      <c r="Q146" s="54"/>
      <c r="R146" s="180"/>
    </row>
    <row r="147" spans="1:18" s="38" customFormat="1" x14ac:dyDescent="0.2">
      <c r="A147" s="25"/>
      <c r="B147" s="40" t="s">
        <v>173</v>
      </c>
      <c r="C147" s="64">
        <f t="shared" si="45"/>
        <v>0</v>
      </c>
      <c r="D147" s="64">
        <f t="shared" si="46"/>
        <v>0</v>
      </c>
      <c r="E147" s="64">
        <f t="shared" si="47"/>
        <v>0</v>
      </c>
      <c r="F147" s="64">
        <f t="shared" si="48"/>
        <v>0</v>
      </c>
      <c r="G147" s="54"/>
      <c r="H147" s="119"/>
      <c r="I147" s="54"/>
      <c r="J147" s="54"/>
      <c r="K147" s="54"/>
      <c r="L147" s="119"/>
      <c r="M147" s="54"/>
      <c r="N147" s="54"/>
      <c r="O147" s="54"/>
      <c r="P147" s="119"/>
      <c r="Q147" s="54"/>
      <c r="R147" s="180"/>
    </row>
    <row r="148" spans="1:18" s="38" customFormat="1" x14ac:dyDescent="0.2">
      <c r="A148" s="25"/>
      <c r="B148" s="40" t="s">
        <v>174</v>
      </c>
      <c r="C148" s="64">
        <f t="shared" si="45"/>
        <v>2</v>
      </c>
      <c r="D148" s="64">
        <f t="shared" si="46"/>
        <v>12000</v>
      </c>
      <c r="E148" s="64">
        <f t="shared" si="47"/>
        <v>0</v>
      </c>
      <c r="F148" s="64">
        <f t="shared" si="48"/>
        <v>0</v>
      </c>
      <c r="G148" s="54"/>
      <c r="H148" s="119"/>
      <c r="I148" s="54"/>
      <c r="J148" s="54"/>
      <c r="K148" s="54">
        <v>1</v>
      </c>
      <c r="L148" s="119">
        <f>K148*6000</f>
        <v>6000</v>
      </c>
      <c r="M148" s="54"/>
      <c r="N148" s="54"/>
      <c r="O148" s="54">
        <v>1</v>
      </c>
      <c r="P148" s="119">
        <f>O148*6000</f>
        <v>6000</v>
      </c>
      <c r="Q148" s="54"/>
      <c r="R148" s="180"/>
    </row>
    <row r="149" spans="1:18" s="38" customFormat="1" ht="15" x14ac:dyDescent="0.25">
      <c r="A149" s="25"/>
      <c r="B149" s="40" t="s">
        <v>175</v>
      </c>
      <c r="C149" s="64">
        <f t="shared" ref="C149:F151" si="49">G149+K149+O149</f>
        <v>3</v>
      </c>
      <c r="D149" s="64">
        <f t="shared" si="49"/>
        <v>215000</v>
      </c>
      <c r="E149" s="64">
        <f t="shared" si="49"/>
        <v>0</v>
      </c>
      <c r="F149" s="64">
        <f t="shared" si="49"/>
        <v>0</v>
      </c>
      <c r="G149" s="47">
        <v>1</v>
      </c>
      <c r="H149" s="119">
        <f>G149*15000</f>
        <v>15000</v>
      </c>
      <c r="I149" s="54"/>
      <c r="J149" s="54"/>
      <c r="K149" s="47">
        <v>1</v>
      </c>
      <c r="L149" s="119">
        <f>K149*50000</f>
        <v>50000</v>
      </c>
      <c r="M149" s="54"/>
      <c r="N149" s="54"/>
      <c r="O149" s="47">
        <v>1</v>
      </c>
      <c r="P149" s="119">
        <f>O149*150000</f>
        <v>150000</v>
      </c>
      <c r="Q149" s="54"/>
      <c r="R149" s="180"/>
    </row>
    <row r="150" spans="1:18" s="38" customFormat="1" ht="25.5" x14ac:dyDescent="0.2">
      <c r="A150" s="25"/>
      <c r="B150" s="40" t="s">
        <v>176</v>
      </c>
      <c r="C150" s="64">
        <f t="shared" si="49"/>
        <v>0</v>
      </c>
      <c r="D150" s="64">
        <f t="shared" si="49"/>
        <v>0</v>
      </c>
      <c r="E150" s="64">
        <f t="shared" si="49"/>
        <v>0</v>
      </c>
      <c r="F150" s="64">
        <f t="shared" si="49"/>
        <v>0</v>
      </c>
      <c r="G150" s="54"/>
      <c r="H150" s="119"/>
      <c r="I150" s="54"/>
      <c r="J150" s="54"/>
      <c r="K150" s="54"/>
      <c r="L150" s="119"/>
      <c r="M150" s="54"/>
      <c r="N150" s="54"/>
      <c r="O150" s="54"/>
      <c r="P150" s="119"/>
      <c r="Q150" s="54"/>
      <c r="R150" s="180"/>
    </row>
    <row r="151" spans="1:18" s="38" customFormat="1" x14ac:dyDescent="0.2">
      <c r="A151" s="25"/>
      <c r="B151" s="321" t="s">
        <v>177</v>
      </c>
      <c r="C151" s="64">
        <f t="shared" si="49"/>
        <v>0</v>
      </c>
      <c r="D151" s="64">
        <f t="shared" si="49"/>
        <v>0</v>
      </c>
      <c r="E151" s="64">
        <f t="shared" si="49"/>
        <v>0</v>
      </c>
      <c r="F151" s="64">
        <f t="shared" si="49"/>
        <v>0</v>
      </c>
      <c r="G151" s="54"/>
      <c r="H151" s="119"/>
      <c r="I151" s="54"/>
      <c r="J151" s="54"/>
      <c r="K151" s="54"/>
      <c r="L151" s="119"/>
      <c r="M151" s="54"/>
      <c r="N151" s="54"/>
      <c r="O151" s="54"/>
      <c r="P151" s="119"/>
      <c r="Q151" s="54"/>
      <c r="R151" s="180"/>
    </row>
    <row r="152" spans="1:18" s="38" customFormat="1" ht="25.5" x14ac:dyDescent="0.2">
      <c r="A152" s="25"/>
      <c r="B152" s="144" t="s">
        <v>178</v>
      </c>
      <c r="C152" s="64"/>
      <c r="D152" s="64"/>
      <c r="E152" s="64"/>
      <c r="F152" s="64"/>
      <c r="G152" s="54"/>
      <c r="H152" s="119"/>
      <c r="I152" s="54"/>
      <c r="J152" s="54"/>
      <c r="K152" s="54"/>
      <c r="L152" s="119"/>
      <c r="M152" s="54"/>
      <c r="N152" s="54"/>
      <c r="O152" s="54"/>
      <c r="P152" s="119"/>
      <c r="Q152" s="54"/>
      <c r="R152" s="180"/>
    </row>
    <row r="153" spans="1:18" s="38" customFormat="1" x14ac:dyDescent="0.2">
      <c r="A153" s="25"/>
      <c r="B153" s="319" t="s">
        <v>179</v>
      </c>
      <c r="C153" s="64">
        <f t="shared" ref="C153:F154" si="50">G153+K153+O153</f>
        <v>0</v>
      </c>
      <c r="D153" s="64">
        <f t="shared" si="50"/>
        <v>0</v>
      </c>
      <c r="E153" s="64">
        <f t="shared" si="50"/>
        <v>0</v>
      </c>
      <c r="F153" s="64">
        <f t="shared" si="50"/>
        <v>0</v>
      </c>
      <c r="G153" s="54"/>
      <c r="H153" s="119"/>
      <c r="I153" s="54"/>
      <c r="J153" s="54"/>
      <c r="K153" s="54"/>
      <c r="L153" s="119"/>
      <c r="M153" s="54"/>
      <c r="N153" s="54"/>
      <c r="O153" s="54"/>
      <c r="P153" s="119"/>
      <c r="Q153" s="54"/>
      <c r="R153" s="180"/>
    </row>
    <row r="154" spans="1:18" s="38" customFormat="1" ht="25.5" x14ac:dyDescent="0.2">
      <c r="A154" s="25"/>
      <c r="B154" s="24" t="s">
        <v>180</v>
      </c>
      <c r="C154" s="64">
        <f t="shared" si="50"/>
        <v>0</v>
      </c>
      <c r="D154" s="64">
        <f t="shared" si="50"/>
        <v>0</v>
      </c>
      <c r="E154" s="64">
        <f t="shared" si="50"/>
        <v>0</v>
      </c>
      <c r="F154" s="64">
        <f t="shared" si="50"/>
        <v>0</v>
      </c>
      <c r="G154" s="54"/>
      <c r="H154" s="119"/>
      <c r="I154" s="54"/>
      <c r="J154" s="54"/>
      <c r="K154" s="54"/>
      <c r="L154" s="119"/>
      <c r="M154" s="54"/>
      <c r="N154" s="54"/>
      <c r="O154" s="54"/>
      <c r="P154" s="119"/>
      <c r="Q154" s="54"/>
      <c r="R154" s="180"/>
    </row>
    <row r="155" spans="1:18" s="38" customFormat="1" x14ac:dyDescent="0.2">
      <c r="A155" s="25"/>
      <c r="B155" s="24" t="s">
        <v>181</v>
      </c>
      <c r="C155" s="64"/>
      <c r="D155" s="64"/>
      <c r="E155" s="64"/>
      <c r="F155" s="64"/>
      <c r="G155" s="54"/>
      <c r="H155" s="119"/>
      <c r="I155" s="54"/>
      <c r="J155" s="54"/>
      <c r="K155" s="54"/>
      <c r="L155" s="119"/>
      <c r="M155" s="54"/>
      <c r="N155" s="54"/>
      <c r="O155" s="54"/>
      <c r="P155" s="119"/>
      <c r="Q155" s="54"/>
      <c r="R155" s="180"/>
    </row>
    <row r="156" spans="1:18" s="38" customFormat="1" ht="25.5" x14ac:dyDescent="0.2">
      <c r="A156" s="25"/>
      <c r="B156" s="24" t="s">
        <v>182</v>
      </c>
      <c r="C156" s="64">
        <f>G156+K156+O156</f>
        <v>0</v>
      </c>
      <c r="D156" s="64">
        <f>H156+L156+P156</f>
        <v>0</v>
      </c>
      <c r="E156" s="64">
        <f>I156+M156+Q156</f>
        <v>0</v>
      </c>
      <c r="F156" s="64">
        <f>J156+N156+R156</f>
        <v>0</v>
      </c>
      <c r="G156" s="54"/>
      <c r="H156" s="119"/>
      <c r="I156" s="54"/>
      <c r="J156" s="54"/>
      <c r="K156" s="54"/>
      <c r="L156" s="119"/>
      <c r="M156" s="54"/>
      <c r="N156" s="54"/>
      <c r="O156" s="54"/>
      <c r="P156" s="119"/>
      <c r="Q156" s="54"/>
      <c r="R156" s="180"/>
    </row>
    <row r="157" spans="1:18" s="38" customFormat="1" x14ac:dyDescent="0.2">
      <c r="A157" s="25"/>
      <c r="B157" s="24" t="s">
        <v>183</v>
      </c>
      <c r="C157" s="64">
        <f t="shared" ref="C157:C162" si="51">G157+K157+O157</f>
        <v>0</v>
      </c>
      <c r="D157" s="64">
        <f t="shared" ref="D157:F162" si="52">H157+L157+P157</f>
        <v>0</v>
      </c>
      <c r="E157" s="64">
        <f t="shared" si="52"/>
        <v>0</v>
      </c>
      <c r="F157" s="64">
        <f t="shared" si="52"/>
        <v>0</v>
      </c>
      <c r="G157" s="54"/>
      <c r="H157" s="119"/>
      <c r="I157" s="54"/>
      <c r="J157" s="54"/>
      <c r="K157" s="54"/>
      <c r="L157" s="119"/>
      <c r="M157" s="54"/>
      <c r="N157" s="54"/>
      <c r="O157" s="54"/>
      <c r="P157" s="119"/>
      <c r="Q157" s="54"/>
      <c r="R157" s="180"/>
    </row>
    <row r="158" spans="1:18" s="38" customFormat="1" ht="25.5" x14ac:dyDescent="0.2">
      <c r="A158" s="25"/>
      <c r="B158" s="24" t="s">
        <v>184</v>
      </c>
      <c r="C158" s="64">
        <f t="shared" si="51"/>
        <v>0</v>
      </c>
      <c r="D158" s="64">
        <f t="shared" si="52"/>
        <v>0</v>
      </c>
      <c r="E158" s="64">
        <f t="shared" si="52"/>
        <v>0</v>
      </c>
      <c r="F158" s="64">
        <f t="shared" si="52"/>
        <v>0</v>
      </c>
      <c r="G158" s="54"/>
      <c r="H158" s="119"/>
      <c r="I158" s="54"/>
      <c r="J158" s="54"/>
      <c r="K158" s="54"/>
      <c r="L158" s="119"/>
      <c r="M158" s="54"/>
      <c r="N158" s="54"/>
      <c r="O158" s="54"/>
      <c r="P158" s="119"/>
      <c r="Q158" s="54"/>
      <c r="R158" s="180"/>
    </row>
    <row r="159" spans="1:18" s="38" customFormat="1" ht="25.5" x14ac:dyDescent="0.2">
      <c r="A159" s="25"/>
      <c r="B159" s="24" t="s">
        <v>185</v>
      </c>
      <c r="C159" s="64">
        <f t="shared" si="51"/>
        <v>0</v>
      </c>
      <c r="D159" s="64">
        <f t="shared" si="52"/>
        <v>0</v>
      </c>
      <c r="E159" s="64">
        <f t="shared" si="52"/>
        <v>0</v>
      </c>
      <c r="F159" s="64">
        <f t="shared" si="52"/>
        <v>0</v>
      </c>
      <c r="G159" s="54"/>
      <c r="H159" s="119"/>
      <c r="I159" s="54"/>
      <c r="J159" s="54"/>
      <c r="K159" s="54"/>
      <c r="L159" s="119"/>
      <c r="M159" s="54"/>
      <c r="N159" s="54"/>
      <c r="O159" s="54"/>
      <c r="P159" s="119"/>
      <c r="Q159" s="54"/>
      <c r="R159" s="180"/>
    </row>
    <row r="160" spans="1:18" s="38" customFormat="1" x14ac:dyDescent="0.2">
      <c r="A160" s="25"/>
      <c r="B160" s="319" t="s">
        <v>186</v>
      </c>
      <c r="C160" s="64">
        <f t="shared" si="51"/>
        <v>0</v>
      </c>
      <c r="D160" s="64">
        <f t="shared" si="52"/>
        <v>0</v>
      </c>
      <c r="E160" s="64">
        <f t="shared" si="52"/>
        <v>0</v>
      </c>
      <c r="F160" s="64">
        <f t="shared" si="52"/>
        <v>0</v>
      </c>
      <c r="G160" s="54"/>
      <c r="H160" s="119"/>
      <c r="I160" s="54"/>
      <c r="J160" s="54"/>
      <c r="K160" s="54"/>
      <c r="L160" s="119"/>
      <c r="M160" s="54"/>
      <c r="N160" s="54"/>
      <c r="O160" s="54"/>
      <c r="P160" s="119"/>
      <c r="Q160" s="54"/>
      <c r="R160" s="180"/>
    </row>
    <row r="161" spans="1:18" s="38" customFormat="1" ht="25.5" x14ac:dyDescent="0.2">
      <c r="A161" s="25"/>
      <c r="B161" s="24" t="s">
        <v>187</v>
      </c>
      <c r="C161" s="64">
        <f t="shared" si="51"/>
        <v>0</v>
      </c>
      <c r="D161" s="64">
        <f t="shared" si="52"/>
        <v>0</v>
      </c>
      <c r="E161" s="64">
        <f t="shared" si="52"/>
        <v>0</v>
      </c>
      <c r="F161" s="64">
        <f t="shared" si="52"/>
        <v>0</v>
      </c>
      <c r="G161" s="54"/>
      <c r="H161" s="119"/>
      <c r="I161" s="54"/>
      <c r="J161" s="54"/>
      <c r="K161" s="54"/>
      <c r="L161" s="119"/>
      <c r="M161" s="54"/>
      <c r="N161" s="54"/>
      <c r="O161" s="54"/>
      <c r="P161" s="119"/>
      <c r="Q161" s="54"/>
      <c r="R161" s="180"/>
    </row>
    <row r="162" spans="1:18" s="38" customFormat="1" ht="25.5" x14ac:dyDescent="0.2">
      <c r="A162" s="25"/>
      <c r="B162" s="24" t="s">
        <v>188</v>
      </c>
      <c r="C162" s="64">
        <f t="shared" si="51"/>
        <v>0</v>
      </c>
      <c r="D162" s="64">
        <f t="shared" si="52"/>
        <v>0</v>
      </c>
      <c r="E162" s="64">
        <f t="shared" si="52"/>
        <v>0</v>
      </c>
      <c r="F162" s="64">
        <f t="shared" si="52"/>
        <v>0</v>
      </c>
      <c r="G162" s="54"/>
      <c r="H162" s="119"/>
      <c r="I162" s="54"/>
      <c r="J162" s="54"/>
      <c r="K162" s="54"/>
      <c r="L162" s="119"/>
      <c r="M162" s="54"/>
      <c r="N162" s="54"/>
      <c r="O162" s="54"/>
      <c r="P162" s="119"/>
      <c r="Q162" s="54"/>
      <c r="R162" s="180"/>
    </row>
    <row r="163" spans="1:18" s="38" customFormat="1" x14ac:dyDescent="0.2">
      <c r="A163" s="25"/>
      <c r="B163" s="24" t="s">
        <v>189</v>
      </c>
      <c r="C163" s="64"/>
      <c r="D163" s="64"/>
      <c r="E163" s="64"/>
      <c r="F163" s="64"/>
      <c r="G163" s="54"/>
      <c r="H163" s="119"/>
      <c r="I163" s="54"/>
      <c r="J163" s="54"/>
      <c r="K163" s="54"/>
      <c r="L163" s="119"/>
      <c r="M163" s="54"/>
      <c r="N163" s="54"/>
      <c r="O163" s="54"/>
      <c r="P163" s="119"/>
      <c r="Q163" s="54"/>
      <c r="R163" s="180"/>
    </row>
    <row r="164" spans="1:18" s="38" customFormat="1" x14ac:dyDescent="0.2">
      <c r="A164" s="25"/>
      <c r="B164" s="40" t="s">
        <v>190</v>
      </c>
      <c r="C164" s="64">
        <f t="shared" si="45"/>
        <v>0</v>
      </c>
      <c r="D164" s="64">
        <f t="shared" si="46"/>
        <v>0</v>
      </c>
      <c r="E164" s="64">
        <f t="shared" si="47"/>
        <v>0</v>
      </c>
      <c r="F164" s="64">
        <f t="shared" si="48"/>
        <v>0</v>
      </c>
      <c r="G164" s="54"/>
      <c r="H164" s="119"/>
      <c r="I164" s="54"/>
      <c r="J164" s="54"/>
      <c r="K164" s="54"/>
      <c r="L164" s="119"/>
      <c r="M164" s="54"/>
      <c r="N164" s="54"/>
      <c r="O164" s="54"/>
      <c r="P164" s="119"/>
      <c r="Q164" s="54"/>
      <c r="R164" s="180"/>
    </row>
    <row r="165" spans="1:18" s="38" customFormat="1" ht="13.5" thickBot="1" x14ac:dyDescent="0.25">
      <c r="A165" s="25"/>
      <c r="B165" s="24" t="s">
        <v>191</v>
      </c>
      <c r="C165" s="64">
        <f t="shared" si="45"/>
        <v>6</v>
      </c>
      <c r="D165" s="64">
        <f t="shared" si="46"/>
        <v>104000</v>
      </c>
      <c r="E165" s="64">
        <f t="shared" si="47"/>
        <v>0</v>
      </c>
      <c r="F165" s="64">
        <f t="shared" si="48"/>
        <v>0</v>
      </c>
      <c r="G165" s="54">
        <v>2</v>
      </c>
      <c r="H165" s="119">
        <f>G165*13500</f>
        <v>27000</v>
      </c>
      <c r="I165" s="54"/>
      <c r="J165" s="54"/>
      <c r="K165" s="54">
        <v>2</v>
      </c>
      <c r="L165" s="119">
        <f>K165*28500</f>
        <v>57000</v>
      </c>
      <c r="M165" s="54"/>
      <c r="N165" s="54"/>
      <c r="O165" s="54">
        <v>2</v>
      </c>
      <c r="P165" s="119">
        <f>O165*10000</f>
        <v>20000</v>
      </c>
      <c r="Q165" s="54"/>
      <c r="R165" s="180"/>
    </row>
    <row r="166" spans="1:18" ht="13.5" thickBot="1" x14ac:dyDescent="0.25">
      <c r="A166" s="171"/>
      <c r="B166" s="172" t="s">
        <v>161</v>
      </c>
      <c r="C166" s="173">
        <f t="shared" ref="C166:R166" si="53">SUM(C135:C165)</f>
        <v>69</v>
      </c>
      <c r="D166" s="173">
        <f t="shared" si="53"/>
        <v>1825000</v>
      </c>
      <c r="E166" s="173">
        <f t="shared" si="53"/>
        <v>0</v>
      </c>
      <c r="F166" s="173">
        <f t="shared" si="53"/>
        <v>0</v>
      </c>
      <c r="G166" s="173">
        <f t="shared" si="53"/>
        <v>15</v>
      </c>
      <c r="H166" s="173">
        <f t="shared" si="53"/>
        <v>212000</v>
      </c>
      <c r="I166" s="173">
        <f t="shared" si="53"/>
        <v>0</v>
      </c>
      <c r="J166" s="173">
        <f t="shared" si="53"/>
        <v>0</v>
      </c>
      <c r="K166" s="173">
        <f t="shared" si="53"/>
        <v>26</v>
      </c>
      <c r="L166" s="173">
        <f t="shared" si="53"/>
        <v>373000</v>
      </c>
      <c r="M166" s="173">
        <f t="shared" si="53"/>
        <v>0</v>
      </c>
      <c r="N166" s="173">
        <f t="shared" si="53"/>
        <v>0</v>
      </c>
      <c r="O166" s="173">
        <f t="shared" si="53"/>
        <v>28</v>
      </c>
      <c r="P166" s="173">
        <f t="shared" si="53"/>
        <v>1240000</v>
      </c>
      <c r="Q166" s="173">
        <f t="shared" si="53"/>
        <v>0</v>
      </c>
      <c r="R166" s="174">
        <f t="shared" si="53"/>
        <v>0</v>
      </c>
    </row>
    <row r="167" spans="1:18" s="38" customFormat="1" ht="13.5" thickBot="1" x14ac:dyDescent="0.25">
      <c r="A167" s="235"/>
      <c r="B167" s="236"/>
      <c r="C167" s="222"/>
      <c r="D167" s="237"/>
      <c r="E167" s="222"/>
      <c r="F167" s="222"/>
      <c r="G167" s="222"/>
      <c r="H167" s="237"/>
      <c r="I167" s="222"/>
      <c r="J167" s="222"/>
      <c r="K167" s="222"/>
      <c r="L167" s="237"/>
      <c r="M167" s="222"/>
      <c r="N167" s="222"/>
      <c r="O167" s="222"/>
      <c r="P167" s="237"/>
      <c r="Q167" s="222"/>
      <c r="R167" s="238"/>
    </row>
    <row r="168" spans="1:18" ht="16.5" thickBot="1" x14ac:dyDescent="0.3">
      <c r="A168" s="218"/>
      <c r="B168" s="219" t="s">
        <v>162</v>
      </c>
      <c r="C168" s="220">
        <f t="shared" ref="C168:R168" si="54">C12+C48+C60+C73+C77+C92+C133+C166</f>
        <v>332</v>
      </c>
      <c r="D168" s="220">
        <f t="shared" si="54"/>
        <v>8803500</v>
      </c>
      <c r="E168" s="220">
        <f t="shared" si="54"/>
        <v>0</v>
      </c>
      <c r="F168" s="220">
        <f t="shared" si="54"/>
        <v>0</v>
      </c>
      <c r="G168" s="220">
        <f t="shared" si="54"/>
        <v>130</v>
      </c>
      <c r="H168" s="220">
        <f t="shared" si="54"/>
        <v>3327000</v>
      </c>
      <c r="I168" s="220">
        <f t="shared" si="54"/>
        <v>0</v>
      </c>
      <c r="J168" s="220">
        <f t="shared" si="54"/>
        <v>0</v>
      </c>
      <c r="K168" s="220">
        <f t="shared" si="54"/>
        <v>87</v>
      </c>
      <c r="L168" s="220">
        <f t="shared" si="54"/>
        <v>1836500</v>
      </c>
      <c r="M168" s="220">
        <f t="shared" si="54"/>
        <v>0</v>
      </c>
      <c r="N168" s="220">
        <f t="shared" si="54"/>
        <v>0</v>
      </c>
      <c r="O168" s="220">
        <f t="shared" si="54"/>
        <v>118</v>
      </c>
      <c r="P168" s="220">
        <f t="shared" si="54"/>
        <v>3685000</v>
      </c>
      <c r="Q168" s="220">
        <f t="shared" si="54"/>
        <v>0</v>
      </c>
      <c r="R168" s="221">
        <f t="shared" si="54"/>
        <v>0</v>
      </c>
    </row>
    <row r="182" s="5" customFormat="1" x14ac:dyDescent="0.2"/>
    <row r="183" s="5" customFormat="1" x14ac:dyDescent="0.2"/>
  </sheetData>
  <mergeCells count="12">
    <mergeCell ref="K4:L4"/>
    <mergeCell ref="M4:N4"/>
    <mergeCell ref="O4:P4"/>
    <mergeCell ref="Q4:R4"/>
    <mergeCell ref="C3:F3"/>
    <mergeCell ref="G3:J3"/>
    <mergeCell ref="K3:N3"/>
    <mergeCell ref="O3:R3"/>
    <mergeCell ref="E4:F4"/>
    <mergeCell ref="C4:D4"/>
    <mergeCell ref="G4:H4"/>
    <mergeCell ref="I4:J4"/>
  </mergeCells>
  <phoneticPr fontId="8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S183"/>
  <sheetViews>
    <sheetView zoomScale="110" zoomScaleNormal="110" workbookViewId="0">
      <pane xSplit="2" ySplit="5" topLeftCell="C129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47.7109375" style="9" customWidth="1"/>
    <col min="3" max="3" width="8.7109375" style="12" customWidth="1"/>
    <col min="4" max="4" width="14.28515625" style="13" customWidth="1"/>
    <col min="5" max="5" width="11.28515625" style="5" customWidth="1"/>
    <col min="6" max="6" width="11.42578125" style="5" customWidth="1"/>
    <col min="7" max="7" width="9" style="12" customWidth="1"/>
    <col min="8" max="8" width="12.7109375" style="13" customWidth="1"/>
    <col min="9" max="9" width="8.28515625" style="5" customWidth="1"/>
    <col min="10" max="10" width="10.42578125" style="5" customWidth="1"/>
    <col min="11" max="11" width="8.140625" style="12" customWidth="1"/>
    <col min="12" max="12" width="12.42578125" style="13" customWidth="1"/>
    <col min="13" max="13" width="8.7109375" style="5" customWidth="1"/>
    <col min="14" max="14" width="9.28515625" style="5" customWidth="1"/>
    <col min="15" max="15" width="9.28515625" style="12" customWidth="1"/>
    <col min="16" max="16" width="11.7109375" style="13" customWidth="1"/>
    <col min="17" max="17" width="8.7109375" style="5" customWidth="1"/>
    <col min="18" max="18" width="10.5703125" style="5" customWidth="1"/>
    <col min="19" max="16384" width="9.140625" style="5"/>
  </cols>
  <sheetData>
    <row r="1" spans="1:19" ht="14.45" customHeight="1" x14ac:dyDescent="0.2">
      <c r="A1" s="1"/>
      <c r="B1" s="14" t="s">
        <v>55</v>
      </c>
      <c r="C1" s="4"/>
      <c r="D1" s="3"/>
      <c r="G1" s="4"/>
      <c r="H1" s="3"/>
      <c r="K1" s="4"/>
      <c r="L1" s="3"/>
      <c r="O1" s="4"/>
      <c r="P1" s="3"/>
    </row>
    <row r="2" spans="1:19" ht="14.45" customHeight="1" thickBot="1" x14ac:dyDescent="0.25">
      <c r="A2" s="1"/>
      <c r="B2" s="2"/>
      <c r="C2" s="4"/>
      <c r="D2" s="3"/>
      <c r="F2" s="17" t="s">
        <v>236</v>
      </c>
      <c r="G2" s="4"/>
      <c r="H2" s="3"/>
      <c r="J2" s="17" t="s">
        <v>236</v>
      </c>
      <c r="K2" s="4"/>
      <c r="L2" s="3"/>
      <c r="N2" s="17" t="s">
        <v>236</v>
      </c>
      <c r="O2" s="4"/>
      <c r="P2" s="3"/>
      <c r="R2" s="17" t="s">
        <v>236</v>
      </c>
    </row>
    <row r="3" spans="1:19" s="6" customFormat="1" ht="19.5" customHeight="1" thickBot="1" x14ac:dyDescent="0.3">
      <c r="A3" s="70"/>
      <c r="B3" s="71"/>
      <c r="C3" s="413" t="s">
        <v>56</v>
      </c>
      <c r="D3" s="415"/>
      <c r="E3" s="419" t="s">
        <v>56</v>
      </c>
      <c r="F3" s="420"/>
      <c r="G3" s="413" t="s">
        <v>240</v>
      </c>
      <c r="H3" s="414"/>
      <c r="I3" s="414"/>
      <c r="J3" s="415"/>
      <c r="K3" s="413" t="s">
        <v>241</v>
      </c>
      <c r="L3" s="414"/>
      <c r="M3" s="414"/>
      <c r="N3" s="415"/>
      <c r="O3" s="413" t="s">
        <v>242</v>
      </c>
      <c r="P3" s="414"/>
      <c r="Q3" s="414"/>
      <c r="R3" s="415"/>
      <c r="S3" s="6" t="s">
        <v>60</v>
      </c>
    </row>
    <row r="4" spans="1:19" s="6" customFormat="1" ht="29.25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405" t="s">
        <v>235</v>
      </c>
      <c r="H4" s="406"/>
      <c r="I4" s="411" t="s">
        <v>59</v>
      </c>
      <c r="J4" s="412"/>
      <c r="K4" s="405" t="s">
        <v>235</v>
      </c>
      <c r="L4" s="406"/>
      <c r="M4" s="411" t="s">
        <v>59</v>
      </c>
      <c r="N4" s="412"/>
      <c r="O4" s="405" t="s">
        <v>235</v>
      </c>
      <c r="P4" s="406"/>
      <c r="Q4" s="411" t="s">
        <v>59</v>
      </c>
      <c r="R4" s="412"/>
    </row>
    <row r="5" spans="1:19" s="7" customFormat="1" ht="35.25" customHeight="1" thickBot="1" x14ac:dyDescent="0.25">
      <c r="A5" s="160" t="s">
        <v>62</v>
      </c>
      <c r="B5" s="161" t="s">
        <v>63</v>
      </c>
      <c r="C5" s="229" t="s">
        <v>57</v>
      </c>
      <c r="D5" s="229" t="s">
        <v>58</v>
      </c>
      <c r="E5" s="229" t="s">
        <v>57</v>
      </c>
      <c r="F5" s="229" t="s">
        <v>58</v>
      </c>
      <c r="G5" s="229" t="s">
        <v>0</v>
      </c>
      <c r="H5" s="229" t="s">
        <v>1</v>
      </c>
      <c r="I5" s="229" t="s">
        <v>0</v>
      </c>
      <c r="J5" s="229" t="s">
        <v>12</v>
      </c>
      <c r="K5" s="229" t="s">
        <v>0</v>
      </c>
      <c r="L5" s="229" t="s">
        <v>1</v>
      </c>
      <c r="M5" s="229" t="s">
        <v>0</v>
      </c>
      <c r="N5" s="229" t="s">
        <v>12</v>
      </c>
      <c r="O5" s="229" t="s">
        <v>0</v>
      </c>
      <c r="P5" s="229" t="s">
        <v>1</v>
      </c>
      <c r="Q5" s="229" t="s">
        <v>0</v>
      </c>
      <c r="R5" s="229" t="s">
        <v>12</v>
      </c>
    </row>
    <row r="6" spans="1:19" s="9" customFormat="1" x14ac:dyDescent="0.2">
      <c r="A6" s="242" t="s">
        <v>2</v>
      </c>
      <c r="B6" s="243" t="s">
        <v>3</v>
      </c>
      <c r="C6" s="244"/>
      <c r="D6" s="245"/>
      <c r="E6" s="244"/>
      <c r="F6" s="244"/>
      <c r="G6" s="244"/>
      <c r="H6" s="245"/>
      <c r="I6" s="244"/>
      <c r="J6" s="244"/>
      <c r="K6" s="244"/>
      <c r="L6" s="245"/>
      <c r="M6" s="244"/>
      <c r="N6" s="244"/>
      <c r="O6" s="244"/>
      <c r="P6" s="245"/>
      <c r="Q6" s="244"/>
      <c r="R6" s="246"/>
    </row>
    <row r="7" spans="1:19" x14ac:dyDescent="0.2">
      <c r="A7" s="86"/>
      <c r="B7" s="89" t="s">
        <v>18</v>
      </c>
      <c r="C7" s="64">
        <f>G7+K7+O7</f>
        <v>0</v>
      </c>
      <c r="D7" s="64">
        <f t="shared" ref="D7:F9" si="0">H7+L7+P7</f>
        <v>0</v>
      </c>
      <c r="E7" s="64">
        <f t="shared" si="0"/>
        <v>0</v>
      </c>
      <c r="F7" s="64">
        <f t="shared" si="0"/>
        <v>0</v>
      </c>
      <c r="G7" s="90"/>
      <c r="H7" s="91"/>
      <c r="I7" s="90"/>
      <c r="J7" s="90"/>
      <c r="K7" s="90"/>
      <c r="L7" s="91"/>
      <c r="M7" s="90"/>
      <c r="N7" s="90"/>
      <c r="O7" s="90"/>
      <c r="P7" s="91"/>
      <c r="Q7" s="90"/>
      <c r="R7" s="224"/>
    </row>
    <row r="8" spans="1:19" ht="15" x14ac:dyDescent="0.25">
      <c r="A8" s="86"/>
      <c r="B8" s="89" t="s">
        <v>4</v>
      </c>
      <c r="C8" s="64">
        <f t="shared" ref="C8:C9" si="1">G8+K8+O8</f>
        <v>1</v>
      </c>
      <c r="D8" s="64">
        <f t="shared" si="0"/>
        <v>90000</v>
      </c>
      <c r="E8" s="64">
        <f t="shared" si="0"/>
        <v>0</v>
      </c>
      <c r="F8" s="64">
        <f t="shared" si="0"/>
        <v>0</v>
      </c>
      <c r="G8" s="90"/>
      <c r="H8" s="91"/>
      <c r="I8" s="90"/>
      <c r="J8" s="90"/>
      <c r="K8" s="90"/>
      <c r="L8" s="91"/>
      <c r="M8" s="90"/>
      <c r="N8" s="90"/>
      <c r="O8" s="93">
        <v>1</v>
      </c>
      <c r="P8" s="91">
        <v>90000</v>
      </c>
      <c r="Q8" s="90"/>
      <c r="R8" s="224"/>
    </row>
    <row r="9" spans="1:19" x14ac:dyDescent="0.2">
      <c r="A9" s="86"/>
      <c r="B9" s="89" t="s">
        <v>17</v>
      </c>
      <c r="C9" s="64">
        <f t="shared" si="1"/>
        <v>0</v>
      </c>
      <c r="D9" s="64">
        <f t="shared" si="0"/>
        <v>0</v>
      </c>
      <c r="E9" s="64">
        <f t="shared" si="0"/>
        <v>0</v>
      </c>
      <c r="F9" s="64">
        <f t="shared" si="0"/>
        <v>0</v>
      </c>
      <c r="G9" s="90"/>
      <c r="H9" s="91"/>
      <c r="I9" s="90"/>
      <c r="J9" s="90"/>
      <c r="K9" s="90"/>
      <c r="L9" s="91"/>
      <c r="M9" s="90"/>
      <c r="N9" s="90"/>
      <c r="O9" s="90"/>
      <c r="P9" s="91"/>
      <c r="Q9" s="90"/>
      <c r="R9" s="224"/>
    </row>
    <row r="10" spans="1:19" x14ac:dyDescent="0.2">
      <c r="A10" s="86"/>
      <c r="B10" s="89" t="s">
        <v>15</v>
      </c>
      <c r="C10" s="64">
        <f t="shared" ref="C10:D10" si="2">G10+K10+O10</f>
        <v>1</v>
      </c>
      <c r="D10" s="64">
        <f t="shared" si="2"/>
        <v>260000</v>
      </c>
      <c r="E10" s="64">
        <f t="shared" ref="E10" si="3">I10+M10+Q10</f>
        <v>0</v>
      </c>
      <c r="F10" s="64">
        <f t="shared" ref="F10" si="4">J10+N10+R10</f>
        <v>0</v>
      </c>
      <c r="G10" s="90">
        <v>1</v>
      </c>
      <c r="H10" s="91">
        <v>260000</v>
      </c>
      <c r="I10" s="90"/>
      <c r="J10" s="90"/>
      <c r="K10" s="90"/>
      <c r="L10" s="91"/>
      <c r="M10" s="90"/>
      <c r="N10" s="90"/>
      <c r="O10" s="90"/>
      <c r="P10" s="91"/>
      <c r="Q10" s="90"/>
      <c r="R10" s="224"/>
    </row>
    <row r="11" spans="1:19" ht="13.5" thickBot="1" x14ac:dyDescent="0.25">
      <c r="A11" s="247"/>
      <c r="B11" s="164" t="s">
        <v>16</v>
      </c>
      <c r="C11" s="241">
        <f t="shared" ref="C11" si="5">G11+K11+O11</f>
        <v>1</v>
      </c>
      <c r="D11" s="241">
        <f t="shared" ref="D11" si="6">H11+L11+P11</f>
        <v>200000</v>
      </c>
      <c r="E11" s="241">
        <f t="shared" ref="E11" si="7">I11+M11+Q11</f>
        <v>0</v>
      </c>
      <c r="F11" s="241">
        <f t="shared" ref="F11" si="8">J11+N11+R11</f>
        <v>0</v>
      </c>
      <c r="G11" s="166">
        <v>1</v>
      </c>
      <c r="H11" s="165">
        <v>200000</v>
      </c>
      <c r="I11" s="166"/>
      <c r="J11" s="166"/>
      <c r="K11" s="166"/>
      <c r="L11" s="165"/>
      <c r="M11" s="166"/>
      <c r="N11" s="166"/>
      <c r="O11" s="166"/>
      <c r="P11" s="165"/>
      <c r="Q11" s="166"/>
      <c r="R11" s="248"/>
    </row>
    <row r="12" spans="1:19" s="9" customFormat="1" ht="13.5" thickBot="1" x14ac:dyDescent="0.25">
      <c r="A12" s="171"/>
      <c r="B12" s="172" t="s">
        <v>155</v>
      </c>
      <c r="C12" s="173">
        <f t="shared" ref="C12:R12" si="9">SUM(C7:C11)</f>
        <v>3</v>
      </c>
      <c r="D12" s="173">
        <f t="shared" si="9"/>
        <v>550000</v>
      </c>
      <c r="E12" s="173">
        <f t="shared" si="9"/>
        <v>0</v>
      </c>
      <c r="F12" s="173">
        <f t="shared" si="9"/>
        <v>0</v>
      </c>
      <c r="G12" s="173">
        <f t="shared" si="9"/>
        <v>2</v>
      </c>
      <c r="H12" s="173">
        <f t="shared" si="9"/>
        <v>460000</v>
      </c>
      <c r="I12" s="173">
        <f t="shared" si="9"/>
        <v>0</v>
      </c>
      <c r="J12" s="173">
        <f t="shared" si="9"/>
        <v>0</v>
      </c>
      <c r="K12" s="173">
        <f t="shared" si="9"/>
        <v>0</v>
      </c>
      <c r="L12" s="173">
        <f t="shared" si="9"/>
        <v>0</v>
      </c>
      <c r="M12" s="173">
        <f t="shared" si="9"/>
        <v>0</v>
      </c>
      <c r="N12" s="173">
        <f t="shared" si="9"/>
        <v>0</v>
      </c>
      <c r="O12" s="173">
        <f t="shared" si="9"/>
        <v>1</v>
      </c>
      <c r="P12" s="173">
        <f t="shared" si="9"/>
        <v>90000</v>
      </c>
      <c r="Q12" s="173">
        <f t="shared" si="9"/>
        <v>0</v>
      </c>
      <c r="R12" s="173">
        <f t="shared" si="9"/>
        <v>0</v>
      </c>
    </row>
    <row r="13" spans="1:19" s="52" customFormat="1" x14ac:dyDescent="0.2">
      <c r="A13" s="175" t="s">
        <v>5</v>
      </c>
      <c r="B13" s="176" t="s">
        <v>89</v>
      </c>
      <c r="C13" s="213"/>
      <c r="D13" s="213"/>
      <c r="E13" s="213"/>
      <c r="F13" s="213"/>
      <c r="G13" s="177"/>
      <c r="H13" s="178"/>
      <c r="I13" s="177"/>
      <c r="J13" s="177"/>
      <c r="K13" s="177"/>
      <c r="L13" s="178"/>
      <c r="M13" s="177"/>
      <c r="N13" s="177"/>
      <c r="O13" s="177"/>
      <c r="P13" s="178"/>
      <c r="Q13" s="177"/>
      <c r="R13" s="179"/>
    </row>
    <row r="14" spans="1:19" s="52" customFormat="1" ht="15" x14ac:dyDescent="0.25">
      <c r="A14" s="25"/>
      <c r="B14" s="209" t="s">
        <v>19</v>
      </c>
      <c r="C14" s="64">
        <f t="shared" ref="C14:F47" si="10">G14+K14+O14</f>
        <v>20</v>
      </c>
      <c r="D14" s="64">
        <f t="shared" si="10"/>
        <v>60000</v>
      </c>
      <c r="E14" s="64">
        <f t="shared" si="10"/>
        <v>0</v>
      </c>
      <c r="F14" s="64">
        <f t="shared" si="10"/>
        <v>0</v>
      </c>
      <c r="G14" s="47">
        <v>10</v>
      </c>
      <c r="H14" s="119">
        <f>G14*3000</f>
        <v>30000</v>
      </c>
      <c r="I14" s="54"/>
      <c r="J14" s="54"/>
      <c r="K14" s="47">
        <v>5</v>
      </c>
      <c r="L14" s="119">
        <f>K14*3000</f>
        <v>15000</v>
      </c>
      <c r="M14" s="54"/>
      <c r="N14" s="54"/>
      <c r="O14" s="47">
        <v>5</v>
      </c>
      <c r="P14" s="47">
        <f>O14*3000</f>
        <v>15000</v>
      </c>
      <c r="Q14" s="54"/>
      <c r="R14" s="180"/>
    </row>
    <row r="15" spans="1:19" s="52" customFormat="1" x14ac:dyDescent="0.2">
      <c r="A15" s="25"/>
      <c r="B15" s="209" t="s">
        <v>20</v>
      </c>
      <c r="C15" s="64">
        <f t="shared" si="10"/>
        <v>0</v>
      </c>
      <c r="D15" s="64">
        <f t="shared" si="10"/>
        <v>0</v>
      </c>
      <c r="E15" s="64">
        <f t="shared" si="10"/>
        <v>0</v>
      </c>
      <c r="F15" s="64">
        <f t="shared" si="10"/>
        <v>0</v>
      </c>
      <c r="G15" s="54"/>
      <c r="H15" s="119"/>
      <c r="I15" s="54"/>
      <c r="J15" s="54"/>
      <c r="K15" s="54"/>
      <c r="L15" s="119"/>
      <c r="M15" s="54"/>
      <c r="N15" s="54"/>
      <c r="O15" s="54"/>
      <c r="P15" s="119"/>
      <c r="Q15" s="54"/>
      <c r="R15" s="180"/>
    </row>
    <row r="16" spans="1:19" s="52" customFormat="1" x14ac:dyDescent="0.2">
      <c r="A16" s="25"/>
      <c r="B16" s="318" t="s">
        <v>21</v>
      </c>
      <c r="C16" s="64">
        <f>G16+K16+O16</f>
        <v>1</v>
      </c>
      <c r="D16" s="64">
        <f t="shared" si="10"/>
        <v>4500</v>
      </c>
      <c r="E16" s="64">
        <f t="shared" si="10"/>
        <v>0</v>
      </c>
      <c r="F16" s="64">
        <f t="shared" si="10"/>
        <v>0</v>
      </c>
      <c r="G16" s="54"/>
      <c r="H16" s="119"/>
      <c r="I16" s="54"/>
      <c r="J16" s="54"/>
      <c r="K16" s="54">
        <v>1</v>
      </c>
      <c r="L16" s="119">
        <f>K16*4500</f>
        <v>4500</v>
      </c>
      <c r="M16" s="54"/>
      <c r="N16" s="54"/>
      <c r="O16" s="54"/>
      <c r="P16" s="119"/>
      <c r="Q16" s="54"/>
      <c r="R16" s="180"/>
    </row>
    <row r="17" spans="1:18" s="52" customFormat="1" x14ac:dyDescent="0.2">
      <c r="A17" s="25"/>
      <c r="B17" s="318" t="s">
        <v>23</v>
      </c>
      <c r="C17" s="64">
        <f>G17+K17+O17</f>
        <v>3</v>
      </c>
      <c r="D17" s="64">
        <f t="shared" si="10"/>
        <v>13500</v>
      </c>
      <c r="E17" s="64">
        <f t="shared" si="10"/>
        <v>0</v>
      </c>
      <c r="F17" s="64">
        <f t="shared" si="10"/>
        <v>0</v>
      </c>
      <c r="G17" s="54">
        <v>2</v>
      </c>
      <c r="H17" s="119">
        <f>G17*4500</f>
        <v>9000</v>
      </c>
      <c r="I17" s="54"/>
      <c r="J17" s="54"/>
      <c r="K17" s="54"/>
      <c r="L17" s="119"/>
      <c r="M17" s="54"/>
      <c r="N17" s="54"/>
      <c r="O17" s="54">
        <v>1</v>
      </c>
      <c r="P17" s="119">
        <f>O17*4500</f>
        <v>4500</v>
      </c>
      <c r="Q17" s="54"/>
      <c r="R17" s="180"/>
    </row>
    <row r="18" spans="1:18" s="38" customFormat="1" x14ac:dyDescent="0.2">
      <c r="A18" s="25"/>
      <c r="B18" s="318" t="s">
        <v>24</v>
      </c>
      <c r="C18" s="64">
        <f>G18+K18+O18</f>
        <v>0</v>
      </c>
      <c r="D18" s="64">
        <f t="shared" si="10"/>
        <v>0</v>
      </c>
      <c r="E18" s="64">
        <f t="shared" si="10"/>
        <v>0</v>
      </c>
      <c r="F18" s="64">
        <f t="shared" si="10"/>
        <v>0</v>
      </c>
      <c r="G18" s="54"/>
      <c r="H18" s="119"/>
      <c r="I18" s="54"/>
      <c r="J18" s="54"/>
      <c r="K18" s="54"/>
      <c r="L18" s="119"/>
      <c r="M18" s="54"/>
      <c r="N18" s="54"/>
      <c r="O18" s="54"/>
      <c r="P18" s="119"/>
      <c r="Q18" s="54"/>
      <c r="R18" s="180"/>
    </row>
    <row r="19" spans="1:18" s="38" customFormat="1" ht="15" x14ac:dyDescent="0.25">
      <c r="A19" s="25"/>
      <c r="B19" s="48" t="s">
        <v>25</v>
      </c>
      <c r="C19" s="64">
        <f t="shared" si="10"/>
        <v>0</v>
      </c>
      <c r="D19" s="64">
        <f t="shared" si="10"/>
        <v>0</v>
      </c>
      <c r="E19" s="64">
        <f t="shared" si="10"/>
        <v>0</v>
      </c>
      <c r="F19" s="64">
        <f t="shared" si="10"/>
        <v>0</v>
      </c>
      <c r="G19" s="47"/>
      <c r="H19" s="119"/>
      <c r="I19" s="54"/>
      <c r="J19" s="54"/>
      <c r="K19" s="47"/>
      <c r="L19" s="119"/>
      <c r="M19" s="54"/>
      <c r="N19" s="54"/>
      <c r="O19" s="47"/>
      <c r="P19" s="47"/>
      <c r="Q19" s="54"/>
      <c r="R19" s="180"/>
    </row>
    <row r="20" spans="1:18" s="38" customFormat="1" x14ac:dyDescent="0.2">
      <c r="A20" s="25"/>
      <c r="B20" s="209" t="s">
        <v>26</v>
      </c>
      <c r="C20" s="64">
        <f t="shared" si="10"/>
        <v>0</v>
      </c>
      <c r="D20" s="64">
        <f t="shared" si="10"/>
        <v>0</v>
      </c>
      <c r="E20" s="64">
        <f t="shared" si="10"/>
        <v>0</v>
      </c>
      <c r="F20" s="64">
        <f t="shared" si="10"/>
        <v>0</v>
      </c>
      <c r="G20" s="54"/>
      <c r="H20" s="119"/>
      <c r="I20" s="54"/>
      <c r="J20" s="54"/>
      <c r="K20" s="54"/>
      <c r="L20" s="119"/>
      <c r="M20" s="54"/>
      <c r="N20" s="54"/>
      <c r="O20" s="54"/>
      <c r="P20" s="119"/>
      <c r="Q20" s="54"/>
      <c r="R20" s="180"/>
    </row>
    <row r="21" spans="1:18" s="38" customFormat="1" x14ac:dyDescent="0.2">
      <c r="A21" s="25"/>
      <c r="B21" s="209" t="s">
        <v>27</v>
      </c>
      <c r="C21" s="64">
        <f t="shared" si="10"/>
        <v>22</v>
      </c>
      <c r="D21" s="64">
        <f t="shared" si="10"/>
        <v>33000</v>
      </c>
      <c r="E21" s="64">
        <f t="shared" si="10"/>
        <v>0</v>
      </c>
      <c r="F21" s="64">
        <f t="shared" si="10"/>
        <v>0</v>
      </c>
      <c r="G21" s="54">
        <v>10</v>
      </c>
      <c r="H21" s="119">
        <f>G21*1500</f>
        <v>15000</v>
      </c>
      <c r="I21" s="54"/>
      <c r="J21" s="54"/>
      <c r="K21" s="54">
        <v>6</v>
      </c>
      <c r="L21" s="119">
        <f>K21*1500</f>
        <v>9000</v>
      </c>
      <c r="M21" s="54"/>
      <c r="N21" s="54"/>
      <c r="O21" s="54">
        <v>6</v>
      </c>
      <c r="P21" s="119">
        <f>O21*1500</f>
        <v>9000</v>
      </c>
      <c r="Q21" s="54"/>
      <c r="R21" s="180"/>
    </row>
    <row r="22" spans="1:18" s="38" customFormat="1" x14ac:dyDescent="0.2">
      <c r="A22" s="25"/>
      <c r="B22" s="48" t="s">
        <v>28</v>
      </c>
      <c r="C22" s="64">
        <f t="shared" si="10"/>
        <v>10</v>
      </c>
      <c r="D22" s="64">
        <f t="shared" si="10"/>
        <v>40000</v>
      </c>
      <c r="E22" s="64">
        <f t="shared" si="10"/>
        <v>0</v>
      </c>
      <c r="F22" s="64">
        <f t="shared" si="10"/>
        <v>0</v>
      </c>
      <c r="G22" s="54">
        <v>4</v>
      </c>
      <c r="H22" s="119">
        <f>G22*4000</f>
        <v>16000</v>
      </c>
      <c r="I22" s="54"/>
      <c r="J22" s="54"/>
      <c r="K22" s="54">
        <v>3</v>
      </c>
      <c r="L22" s="119">
        <f>K22*4000</f>
        <v>12000</v>
      </c>
      <c r="M22" s="54"/>
      <c r="N22" s="54"/>
      <c r="O22" s="54">
        <v>3</v>
      </c>
      <c r="P22" s="119">
        <f>O22*4000</f>
        <v>12000</v>
      </c>
      <c r="Q22" s="54"/>
      <c r="R22" s="180"/>
    </row>
    <row r="23" spans="1:18" s="38" customFormat="1" x14ac:dyDescent="0.2">
      <c r="A23" s="25"/>
      <c r="B23" s="48" t="s">
        <v>29</v>
      </c>
      <c r="C23" s="64">
        <f t="shared" si="10"/>
        <v>3</v>
      </c>
      <c r="D23" s="64">
        <f t="shared" si="10"/>
        <v>60000</v>
      </c>
      <c r="E23" s="64">
        <f t="shared" si="10"/>
        <v>0</v>
      </c>
      <c r="F23" s="64">
        <f t="shared" si="10"/>
        <v>0</v>
      </c>
      <c r="G23" s="54">
        <v>1</v>
      </c>
      <c r="H23" s="119">
        <v>20000</v>
      </c>
      <c r="I23" s="54"/>
      <c r="J23" s="54"/>
      <c r="K23" s="54">
        <v>1</v>
      </c>
      <c r="L23" s="119">
        <v>20000</v>
      </c>
      <c r="M23" s="54"/>
      <c r="N23" s="54"/>
      <c r="O23" s="54">
        <v>1</v>
      </c>
      <c r="P23" s="119">
        <v>20000</v>
      </c>
      <c r="Q23" s="54"/>
      <c r="R23" s="180"/>
    </row>
    <row r="24" spans="1:18" s="38" customFormat="1" ht="15" x14ac:dyDescent="0.25">
      <c r="A24" s="25"/>
      <c r="B24" s="48" t="s">
        <v>30</v>
      </c>
      <c r="C24" s="64">
        <f t="shared" si="10"/>
        <v>0</v>
      </c>
      <c r="D24" s="64">
        <f t="shared" si="10"/>
        <v>0</v>
      </c>
      <c r="E24" s="64">
        <f t="shared" si="10"/>
        <v>0</v>
      </c>
      <c r="F24" s="64">
        <f t="shared" si="10"/>
        <v>0</v>
      </c>
      <c r="G24" s="47"/>
      <c r="H24" s="119"/>
      <c r="I24" s="54"/>
      <c r="J24" s="54"/>
      <c r="K24" s="47"/>
      <c r="L24" s="119"/>
      <c r="M24" s="54"/>
      <c r="N24" s="54"/>
      <c r="O24" s="47"/>
      <c r="P24" s="47"/>
      <c r="Q24" s="54"/>
      <c r="R24" s="180"/>
    </row>
    <row r="25" spans="1:18" s="38" customFormat="1" x14ac:dyDescent="0.2">
      <c r="A25" s="25"/>
      <c r="B25" s="48" t="s">
        <v>31</v>
      </c>
      <c r="C25" s="64">
        <f t="shared" si="10"/>
        <v>0</v>
      </c>
      <c r="D25" s="64">
        <f t="shared" si="10"/>
        <v>0</v>
      </c>
      <c r="E25" s="64">
        <f t="shared" si="10"/>
        <v>0</v>
      </c>
      <c r="F25" s="64">
        <f t="shared" si="10"/>
        <v>0</v>
      </c>
      <c r="G25" s="54"/>
      <c r="H25" s="119"/>
      <c r="I25" s="54"/>
      <c r="J25" s="54"/>
      <c r="K25" s="54"/>
      <c r="L25" s="119"/>
      <c r="M25" s="54"/>
      <c r="N25" s="54"/>
      <c r="O25" s="54"/>
      <c r="P25" s="119"/>
      <c r="Q25" s="54"/>
      <c r="R25" s="180"/>
    </row>
    <row r="26" spans="1:18" s="38" customFormat="1" x14ac:dyDescent="0.2">
      <c r="A26" s="25"/>
      <c r="B26" s="209" t="s">
        <v>32</v>
      </c>
      <c r="C26" s="64">
        <f t="shared" si="10"/>
        <v>40</v>
      </c>
      <c r="D26" s="64">
        <f t="shared" si="10"/>
        <v>100000</v>
      </c>
      <c r="E26" s="64">
        <f t="shared" si="10"/>
        <v>0</v>
      </c>
      <c r="F26" s="64">
        <f t="shared" si="10"/>
        <v>0</v>
      </c>
      <c r="G26" s="54">
        <v>20</v>
      </c>
      <c r="H26" s="119">
        <f>G26*2500</f>
        <v>50000</v>
      </c>
      <c r="I26" s="54"/>
      <c r="J26" s="54"/>
      <c r="K26" s="54">
        <v>10</v>
      </c>
      <c r="L26" s="119">
        <f>K26*2500</f>
        <v>25000</v>
      </c>
      <c r="M26" s="54"/>
      <c r="N26" s="54"/>
      <c r="O26" s="54">
        <v>10</v>
      </c>
      <c r="P26" s="119">
        <f>O26*2500</f>
        <v>25000</v>
      </c>
      <c r="Q26" s="54"/>
      <c r="R26" s="180"/>
    </row>
    <row r="27" spans="1:18" s="38" customFormat="1" ht="15" x14ac:dyDescent="0.25">
      <c r="A27" s="25"/>
      <c r="B27" s="209" t="s">
        <v>33</v>
      </c>
      <c r="C27" s="64">
        <f t="shared" si="10"/>
        <v>30</v>
      </c>
      <c r="D27" s="64">
        <f t="shared" si="10"/>
        <v>75000</v>
      </c>
      <c r="E27" s="64">
        <f t="shared" si="10"/>
        <v>0</v>
      </c>
      <c r="F27" s="64">
        <f t="shared" si="10"/>
        <v>0</v>
      </c>
      <c r="G27" s="47">
        <v>20</v>
      </c>
      <c r="H27" s="119">
        <f>G27*2500</f>
        <v>50000</v>
      </c>
      <c r="I27" s="54"/>
      <c r="J27" s="54"/>
      <c r="K27" s="47">
        <v>5</v>
      </c>
      <c r="L27" s="119">
        <f>K27*2500</f>
        <v>12500</v>
      </c>
      <c r="M27" s="54"/>
      <c r="N27" s="54"/>
      <c r="O27" s="47">
        <v>5</v>
      </c>
      <c r="P27" s="119">
        <f>O27*2500</f>
        <v>12500</v>
      </c>
      <c r="Q27" s="54"/>
      <c r="R27" s="180"/>
    </row>
    <row r="28" spans="1:18" s="38" customFormat="1" x14ac:dyDescent="0.2">
      <c r="A28" s="25"/>
      <c r="B28" s="209" t="s">
        <v>35</v>
      </c>
      <c r="C28" s="64">
        <f t="shared" si="10"/>
        <v>40</v>
      </c>
      <c r="D28" s="64">
        <f t="shared" si="10"/>
        <v>80000</v>
      </c>
      <c r="E28" s="64">
        <f t="shared" si="10"/>
        <v>0</v>
      </c>
      <c r="F28" s="64">
        <f t="shared" si="10"/>
        <v>0</v>
      </c>
      <c r="G28" s="54">
        <v>20</v>
      </c>
      <c r="H28" s="119">
        <f>G28*2000</f>
        <v>40000</v>
      </c>
      <c r="I28" s="54"/>
      <c r="J28" s="54"/>
      <c r="K28" s="54">
        <v>10</v>
      </c>
      <c r="L28" s="119">
        <f>K28*2000</f>
        <v>20000</v>
      </c>
      <c r="M28" s="54"/>
      <c r="N28" s="54"/>
      <c r="O28" s="54">
        <v>10</v>
      </c>
      <c r="P28" s="119">
        <f>O28*2000</f>
        <v>20000</v>
      </c>
      <c r="Q28" s="54"/>
      <c r="R28" s="180"/>
    </row>
    <row r="29" spans="1:18" s="38" customFormat="1" ht="15" x14ac:dyDescent="0.25">
      <c r="A29" s="25"/>
      <c r="B29" s="209" t="s">
        <v>36</v>
      </c>
      <c r="C29" s="64">
        <f t="shared" si="10"/>
        <v>3</v>
      </c>
      <c r="D29" s="64">
        <f t="shared" si="10"/>
        <v>15000</v>
      </c>
      <c r="E29" s="64">
        <f t="shared" si="10"/>
        <v>0</v>
      </c>
      <c r="F29" s="64">
        <f t="shared" si="10"/>
        <v>0</v>
      </c>
      <c r="G29" s="47">
        <v>1</v>
      </c>
      <c r="H29" s="119">
        <f>G29*5000</f>
        <v>5000</v>
      </c>
      <c r="I29" s="54"/>
      <c r="J29" s="54"/>
      <c r="K29" s="47">
        <v>1</v>
      </c>
      <c r="L29" s="119">
        <f>K29*5000</f>
        <v>5000</v>
      </c>
      <c r="M29" s="54"/>
      <c r="N29" s="54"/>
      <c r="O29" s="47">
        <v>1</v>
      </c>
      <c r="P29" s="119">
        <f>O29*5000</f>
        <v>5000</v>
      </c>
      <c r="Q29" s="54"/>
      <c r="R29" s="180"/>
    </row>
    <row r="30" spans="1:18" s="38" customFormat="1" ht="15" x14ac:dyDescent="0.25">
      <c r="A30" s="25"/>
      <c r="B30" s="209" t="s">
        <v>37</v>
      </c>
      <c r="C30" s="64">
        <f t="shared" si="10"/>
        <v>18</v>
      </c>
      <c r="D30" s="64">
        <f t="shared" si="10"/>
        <v>54000</v>
      </c>
      <c r="E30" s="64">
        <f t="shared" si="10"/>
        <v>0</v>
      </c>
      <c r="F30" s="64">
        <f t="shared" si="10"/>
        <v>0</v>
      </c>
      <c r="G30" s="47">
        <v>10</v>
      </c>
      <c r="H30" s="119">
        <f>G30*3000</f>
        <v>30000</v>
      </c>
      <c r="I30" s="54"/>
      <c r="J30" s="54"/>
      <c r="K30" s="47">
        <v>4</v>
      </c>
      <c r="L30" s="119">
        <f>K30*3000</f>
        <v>12000</v>
      </c>
      <c r="M30" s="54"/>
      <c r="N30" s="54"/>
      <c r="O30" s="47">
        <v>4</v>
      </c>
      <c r="P30" s="119">
        <f>O30*3000</f>
        <v>12000</v>
      </c>
      <c r="Q30" s="54"/>
      <c r="R30" s="180"/>
    </row>
    <row r="31" spans="1:18" s="38" customFormat="1" ht="15" x14ac:dyDescent="0.25">
      <c r="A31" s="25"/>
      <c r="B31" s="48" t="s">
        <v>38</v>
      </c>
      <c r="C31" s="64">
        <f t="shared" si="10"/>
        <v>10</v>
      </c>
      <c r="D31" s="64">
        <f t="shared" si="10"/>
        <v>25000</v>
      </c>
      <c r="E31" s="64">
        <f t="shared" si="10"/>
        <v>0</v>
      </c>
      <c r="F31" s="64">
        <f t="shared" si="10"/>
        <v>0</v>
      </c>
      <c r="G31" s="47">
        <v>4</v>
      </c>
      <c r="H31" s="119">
        <f>G31*2500</f>
        <v>10000</v>
      </c>
      <c r="I31" s="54"/>
      <c r="J31" s="54"/>
      <c r="K31" s="47">
        <v>4</v>
      </c>
      <c r="L31" s="119">
        <f>K31*2500</f>
        <v>10000</v>
      </c>
      <c r="M31" s="54"/>
      <c r="N31" s="54"/>
      <c r="O31" s="47">
        <v>2</v>
      </c>
      <c r="P31" s="119">
        <f>O31*2500</f>
        <v>5000</v>
      </c>
      <c r="Q31" s="54"/>
      <c r="R31" s="180"/>
    </row>
    <row r="32" spans="1:18" s="38" customFormat="1" ht="14.25" x14ac:dyDescent="0.2">
      <c r="A32" s="25"/>
      <c r="B32" s="209" t="s">
        <v>39</v>
      </c>
      <c r="C32" s="64">
        <f t="shared" si="10"/>
        <v>5</v>
      </c>
      <c r="D32" s="64">
        <f t="shared" si="10"/>
        <v>10000</v>
      </c>
      <c r="E32" s="64">
        <f t="shared" si="10"/>
        <v>0</v>
      </c>
      <c r="F32" s="64">
        <f t="shared" si="10"/>
        <v>0</v>
      </c>
      <c r="G32" s="49">
        <v>2</v>
      </c>
      <c r="H32" s="119">
        <f>G32*2000</f>
        <v>4000</v>
      </c>
      <c r="I32" s="54"/>
      <c r="J32" s="54"/>
      <c r="K32" s="54">
        <v>1</v>
      </c>
      <c r="L32" s="119">
        <f>K32*2000</f>
        <v>2000</v>
      </c>
      <c r="M32" s="54"/>
      <c r="N32" s="54"/>
      <c r="O32" s="54">
        <v>2</v>
      </c>
      <c r="P32" s="119">
        <f>O32*2000</f>
        <v>4000</v>
      </c>
      <c r="Q32" s="54"/>
      <c r="R32" s="180"/>
    </row>
    <row r="33" spans="1:18" s="38" customFormat="1" x14ac:dyDescent="0.2">
      <c r="A33" s="25"/>
      <c r="B33" s="209" t="s">
        <v>40</v>
      </c>
      <c r="C33" s="64">
        <f t="shared" si="10"/>
        <v>0</v>
      </c>
      <c r="D33" s="64">
        <f t="shared" si="10"/>
        <v>0</v>
      </c>
      <c r="E33" s="64">
        <f t="shared" si="10"/>
        <v>0</v>
      </c>
      <c r="F33" s="64">
        <f t="shared" si="10"/>
        <v>0</v>
      </c>
      <c r="G33" s="54"/>
      <c r="H33" s="119">
        <f>G33*3000</f>
        <v>0</v>
      </c>
      <c r="I33" s="54"/>
      <c r="J33" s="54"/>
      <c r="K33" s="54"/>
      <c r="L33" s="119">
        <f>K33*3000</f>
        <v>0</v>
      </c>
      <c r="M33" s="54"/>
      <c r="N33" s="54"/>
      <c r="O33" s="54"/>
      <c r="P33" s="119">
        <f>O33*3000</f>
        <v>0</v>
      </c>
      <c r="Q33" s="54"/>
      <c r="R33" s="180"/>
    </row>
    <row r="34" spans="1:18" s="38" customFormat="1" ht="15" x14ac:dyDescent="0.25">
      <c r="A34" s="25"/>
      <c r="B34" s="209" t="s">
        <v>41</v>
      </c>
      <c r="C34" s="64">
        <f t="shared" si="10"/>
        <v>0</v>
      </c>
      <c r="D34" s="64">
        <f t="shared" si="10"/>
        <v>0</v>
      </c>
      <c r="E34" s="64">
        <f t="shared" si="10"/>
        <v>0</v>
      </c>
      <c r="F34" s="64">
        <f t="shared" si="10"/>
        <v>0</v>
      </c>
      <c r="G34" s="47"/>
      <c r="H34" s="119">
        <f>G34*2500</f>
        <v>0</v>
      </c>
      <c r="I34" s="54"/>
      <c r="J34" s="54"/>
      <c r="K34" s="47"/>
      <c r="L34" s="119">
        <f>K34*2500</f>
        <v>0</v>
      </c>
      <c r="M34" s="54"/>
      <c r="N34" s="54"/>
      <c r="O34" s="47"/>
      <c r="P34" s="119">
        <f>O34*2500</f>
        <v>0</v>
      </c>
      <c r="Q34" s="54"/>
      <c r="R34" s="180"/>
    </row>
    <row r="35" spans="1:18" s="38" customFormat="1" x14ac:dyDescent="0.2">
      <c r="A35" s="25"/>
      <c r="B35" s="209" t="s">
        <v>42</v>
      </c>
      <c r="C35" s="64">
        <f t="shared" si="10"/>
        <v>0</v>
      </c>
      <c r="D35" s="64">
        <f t="shared" si="10"/>
        <v>0</v>
      </c>
      <c r="E35" s="64">
        <f t="shared" si="10"/>
        <v>0</v>
      </c>
      <c r="F35" s="64">
        <f t="shared" si="10"/>
        <v>0</v>
      </c>
      <c r="G35" s="54"/>
      <c r="H35" s="119">
        <f>G35*2000</f>
        <v>0</v>
      </c>
      <c r="I35" s="54"/>
      <c r="J35" s="54"/>
      <c r="K35" s="54"/>
      <c r="L35" s="119">
        <f>K35*2000</f>
        <v>0</v>
      </c>
      <c r="M35" s="54"/>
      <c r="N35" s="54"/>
      <c r="O35" s="54"/>
      <c r="P35" s="119">
        <f>O35*2000</f>
        <v>0</v>
      </c>
      <c r="Q35" s="54"/>
      <c r="R35" s="180"/>
    </row>
    <row r="36" spans="1:18" s="38" customFormat="1" ht="14.25" x14ac:dyDescent="0.2">
      <c r="A36" s="25"/>
      <c r="B36" s="48" t="s">
        <v>43</v>
      </c>
      <c r="C36" s="64">
        <f t="shared" si="10"/>
        <v>6</v>
      </c>
      <c r="D36" s="64">
        <f t="shared" si="10"/>
        <v>7200</v>
      </c>
      <c r="E36" s="64">
        <f t="shared" si="10"/>
        <v>0</v>
      </c>
      <c r="F36" s="64">
        <f t="shared" si="10"/>
        <v>0</v>
      </c>
      <c r="G36" s="49">
        <v>3</v>
      </c>
      <c r="H36" s="119">
        <f>G36*1200</f>
        <v>3600</v>
      </c>
      <c r="I36" s="54"/>
      <c r="J36" s="54"/>
      <c r="K36" s="54"/>
      <c r="L36" s="119">
        <f>K36*1200</f>
        <v>0</v>
      </c>
      <c r="M36" s="54"/>
      <c r="N36" s="54"/>
      <c r="O36" s="54">
        <v>3</v>
      </c>
      <c r="P36" s="119">
        <f>O36*1200</f>
        <v>3600</v>
      </c>
      <c r="Q36" s="54"/>
      <c r="R36" s="180"/>
    </row>
    <row r="37" spans="1:18" s="38" customFormat="1" ht="15" x14ac:dyDescent="0.25">
      <c r="A37" s="25"/>
      <c r="B37" s="48" t="s">
        <v>44</v>
      </c>
      <c r="C37" s="64">
        <f t="shared" si="10"/>
        <v>7</v>
      </c>
      <c r="D37" s="64">
        <f t="shared" si="10"/>
        <v>14000</v>
      </c>
      <c r="E37" s="64">
        <f t="shared" si="10"/>
        <v>0</v>
      </c>
      <c r="F37" s="64">
        <f t="shared" si="10"/>
        <v>0</v>
      </c>
      <c r="G37" s="49">
        <v>3</v>
      </c>
      <c r="H37" s="119">
        <f>G37*2000</f>
        <v>6000</v>
      </c>
      <c r="I37" s="54"/>
      <c r="J37" s="54"/>
      <c r="K37" s="47">
        <v>2</v>
      </c>
      <c r="L37" s="119">
        <f>K37*2000</f>
        <v>4000</v>
      </c>
      <c r="M37" s="54"/>
      <c r="N37" s="54"/>
      <c r="O37" s="47">
        <v>2</v>
      </c>
      <c r="P37" s="119">
        <f>O37*2000</f>
        <v>4000</v>
      </c>
      <c r="Q37" s="54"/>
      <c r="R37" s="180"/>
    </row>
    <row r="38" spans="1:18" s="38" customFormat="1" ht="15" x14ac:dyDescent="0.25">
      <c r="A38" s="25"/>
      <c r="B38" s="48" t="s">
        <v>45</v>
      </c>
      <c r="C38" s="64">
        <f t="shared" si="10"/>
        <v>7</v>
      </c>
      <c r="D38" s="64">
        <f t="shared" si="10"/>
        <v>52500</v>
      </c>
      <c r="E38" s="64">
        <f t="shared" si="10"/>
        <v>0</v>
      </c>
      <c r="F38" s="64">
        <f t="shared" si="10"/>
        <v>0</v>
      </c>
      <c r="G38" s="49">
        <v>3</v>
      </c>
      <c r="H38" s="119">
        <f>G38*7500</f>
        <v>22500</v>
      </c>
      <c r="I38" s="54"/>
      <c r="J38" s="54"/>
      <c r="K38" s="47">
        <v>2</v>
      </c>
      <c r="L38" s="119">
        <f>K38*7500</f>
        <v>15000</v>
      </c>
      <c r="M38" s="54"/>
      <c r="N38" s="54"/>
      <c r="O38" s="47">
        <v>2</v>
      </c>
      <c r="P38" s="119">
        <f>O38*7500</f>
        <v>15000</v>
      </c>
      <c r="Q38" s="54"/>
      <c r="R38" s="180"/>
    </row>
    <row r="39" spans="1:18" s="38" customFormat="1" ht="15" x14ac:dyDescent="0.25">
      <c r="A39" s="25"/>
      <c r="B39" s="48" t="s">
        <v>46</v>
      </c>
      <c r="C39" s="64">
        <f t="shared" si="10"/>
        <v>4</v>
      </c>
      <c r="D39" s="64">
        <f t="shared" si="10"/>
        <v>36000</v>
      </c>
      <c r="E39" s="64">
        <f t="shared" si="10"/>
        <v>0</v>
      </c>
      <c r="F39" s="64">
        <f t="shared" si="10"/>
        <v>0</v>
      </c>
      <c r="G39" s="49">
        <v>2</v>
      </c>
      <c r="H39" s="119">
        <f>G39*9000</f>
        <v>18000</v>
      </c>
      <c r="I39" s="54"/>
      <c r="J39" s="54"/>
      <c r="K39" s="47">
        <v>1</v>
      </c>
      <c r="L39" s="119">
        <f>K39*9000</f>
        <v>9000</v>
      </c>
      <c r="M39" s="54"/>
      <c r="N39" s="54"/>
      <c r="O39" s="47">
        <v>1</v>
      </c>
      <c r="P39" s="119">
        <f>O39*9000</f>
        <v>9000</v>
      </c>
      <c r="Q39" s="54"/>
      <c r="R39" s="180"/>
    </row>
    <row r="40" spans="1:18" s="38" customFormat="1" x14ac:dyDescent="0.2">
      <c r="A40" s="25"/>
      <c r="B40" s="209" t="s">
        <v>47</v>
      </c>
      <c r="C40" s="64">
        <f t="shared" si="10"/>
        <v>8</v>
      </c>
      <c r="D40" s="64">
        <f t="shared" si="10"/>
        <v>12000</v>
      </c>
      <c r="E40" s="64">
        <f t="shared" si="10"/>
        <v>0</v>
      </c>
      <c r="F40" s="64">
        <f t="shared" si="10"/>
        <v>0</v>
      </c>
      <c r="G40" s="54"/>
      <c r="H40" s="119"/>
      <c r="I40" s="54"/>
      <c r="J40" s="54"/>
      <c r="K40" s="54">
        <v>8</v>
      </c>
      <c r="L40" s="119">
        <f>1500*K40</f>
        <v>12000</v>
      </c>
      <c r="M40" s="54"/>
      <c r="N40" s="54"/>
      <c r="O40" s="54"/>
      <c r="P40" s="119">
        <f>1500*O40</f>
        <v>0</v>
      </c>
      <c r="Q40" s="54"/>
      <c r="R40" s="180"/>
    </row>
    <row r="41" spans="1:18" s="38" customFormat="1" x14ac:dyDescent="0.2">
      <c r="A41" s="25"/>
      <c r="B41" s="209" t="s">
        <v>48</v>
      </c>
      <c r="C41" s="64">
        <f t="shared" si="10"/>
        <v>60</v>
      </c>
      <c r="D41" s="64">
        <f t="shared" si="10"/>
        <v>48000</v>
      </c>
      <c r="E41" s="64">
        <f t="shared" si="10"/>
        <v>0</v>
      </c>
      <c r="F41" s="64">
        <f t="shared" si="10"/>
        <v>0</v>
      </c>
      <c r="G41" s="54"/>
      <c r="H41" s="119"/>
      <c r="I41" s="54"/>
      <c r="J41" s="54"/>
      <c r="K41" s="54">
        <v>30</v>
      </c>
      <c r="L41" s="119">
        <f>800*K41</f>
        <v>24000</v>
      </c>
      <c r="M41" s="54"/>
      <c r="N41" s="54"/>
      <c r="O41" s="54">
        <v>30</v>
      </c>
      <c r="P41" s="119">
        <f>800*O41</f>
        <v>24000</v>
      </c>
      <c r="Q41" s="54"/>
      <c r="R41" s="180"/>
    </row>
    <row r="42" spans="1:18" s="38" customFormat="1" x14ac:dyDescent="0.2">
      <c r="A42" s="25"/>
      <c r="B42" s="48" t="s">
        <v>49</v>
      </c>
      <c r="C42" s="64">
        <f t="shared" si="10"/>
        <v>0</v>
      </c>
      <c r="D42" s="64">
        <f t="shared" si="10"/>
        <v>0</v>
      </c>
      <c r="E42" s="64">
        <f t="shared" si="10"/>
        <v>0</v>
      </c>
      <c r="F42" s="64">
        <f t="shared" si="10"/>
        <v>0</v>
      </c>
      <c r="G42" s="54"/>
      <c r="H42" s="119"/>
      <c r="I42" s="54"/>
      <c r="J42" s="54"/>
      <c r="K42" s="54"/>
      <c r="L42" s="119"/>
      <c r="M42" s="54"/>
      <c r="N42" s="54"/>
      <c r="O42" s="54"/>
      <c r="P42" s="119"/>
      <c r="Q42" s="54"/>
      <c r="R42" s="180"/>
    </row>
    <row r="43" spans="1:18" s="38" customFormat="1" ht="14.25" x14ac:dyDescent="0.2">
      <c r="A43" s="25"/>
      <c r="B43" s="48" t="s">
        <v>50</v>
      </c>
      <c r="C43" s="64">
        <f t="shared" si="10"/>
        <v>6</v>
      </c>
      <c r="D43" s="64">
        <f t="shared" si="10"/>
        <v>18000</v>
      </c>
      <c r="E43" s="64">
        <f t="shared" si="10"/>
        <v>0</v>
      </c>
      <c r="F43" s="64">
        <f t="shared" si="10"/>
        <v>0</v>
      </c>
      <c r="G43" s="49">
        <v>2</v>
      </c>
      <c r="H43" s="119">
        <f>G43*3000</f>
        <v>6000</v>
      </c>
      <c r="I43" s="54"/>
      <c r="J43" s="54"/>
      <c r="K43" s="54">
        <v>2</v>
      </c>
      <c r="L43" s="119">
        <f>K43*3000</f>
        <v>6000</v>
      </c>
      <c r="M43" s="54"/>
      <c r="N43" s="54"/>
      <c r="O43" s="54">
        <v>2</v>
      </c>
      <c r="P43" s="119">
        <f>O43*3000</f>
        <v>6000</v>
      </c>
      <c r="Q43" s="54"/>
      <c r="R43" s="180"/>
    </row>
    <row r="44" spans="1:18" s="38" customFormat="1" ht="15" x14ac:dyDescent="0.25">
      <c r="A44" s="25"/>
      <c r="B44" s="48" t="s">
        <v>51</v>
      </c>
      <c r="C44" s="64">
        <f t="shared" si="10"/>
        <v>0</v>
      </c>
      <c r="D44" s="64">
        <f t="shared" si="10"/>
        <v>0</v>
      </c>
      <c r="E44" s="64">
        <f t="shared" si="10"/>
        <v>0</v>
      </c>
      <c r="F44" s="64">
        <f t="shared" si="10"/>
        <v>0</v>
      </c>
      <c r="G44" s="47"/>
      <c r="H44" s="119">
        <f>G44*4000</f>
        <v>0</v>
      </c>
      <c r="I44" s="54"/>
      <c r="J44" s="54"/>
      <c r="K44" s="47"/>
      <c r="L44" s="119">
        <f>K44*4000</f>
        <v>0</v>
      </c>
      <c r="M44" s="54"/>
      <c r="N44" s="54"/>
      <c r="O44" s="54"/>
      <c r="P44" s="119">
        <f>O44*4000</f>
        <v>0</v>
      </c>
      <c r="Q44" s="54"/>
      <c r="R44" s="180"/>
    </row>
    <row r="45" spans="1:18" s="38" customFormat="1" ht="14.25" x14ac:dyDescent="0.2">
      <c r="A45" s="25"/>
      <c r="B45" s="48" t="s">
        <v>52</v>
      </c>
      <c r="C45" s="64">
        <f t="shared" si="10"/>
        <v>8</v>
      </c>
      <c r="D45" s="64">
        <f t="shared" si="10"/>
        <v>24000</v>
      </c>
      <c r="E45" s="64">
        <f t="shared" si="10"/>
        <v>0</v>
      </c>
      <c r="F45" s="64">
        <f t="shared" si="10"/>
        <v>0</v>
      </c>
      <c r="G45" s="49">
        <v>4</v>
      </c>
      <c r="H45" s="119">
        <f>G45*3000</f>
        <v>12000</v>
      </c>
      <c r="I45" s="54"/>
      <c r="J45" s="54"/>
      <c r="K45" s="54">
        <v>4</v>
      </c>
      <c r="L45" s="119">
        <f>K45*3000</f>
        <v>12000</v>
      </c>
      <c r="M45" s="54"/>
      <c r="N45" s="54"/>
      <c r="O45" s="54"/>
      <c r="P45" s="119">
        <f>O45*3000</f>
        <v>0</v>
      </c>
      <c r="Q45" s="54"/>
      <c r="R45" s="180"/>
    </row>
    <row r="46" spans="1:18" s="38" customFormat="1" ht="14.25" x14ac:dyDescent="0.2">
      <c r="A46" s="25"/>
      <c r="B46" s="209" t="s">
        <v>53</v>
      </c>
      <c r="C46" s="64">
        <f t="shared" si="10"/>
        <v>10</v>
      </c>
      <c r="D46" s="64">
        <f t="shared" si="10"/>
        <v>30000</v>
      </c>
      <c r="E46" s="64">
        <f t="shared" si="10"/>
        <v>0</v>
      </c>
      <c r="F46" s="64">
        <f t="shared" si="10"/>
        <v>0</v>
      </c>
      <c r="G46" s="49">
        <v>10</v>
      </c>
      <c r="H46" s="119">
        <f>G46*3000</f>
        <v>30000</v>
      </c>
      <c r="I46" s="54"/>
      <c r="J46" s="54"/>
      <c r="K46" s="54"/>
      <c r="L46" s="119">
        <f>K46*3000</f>
        <v>0</v>
      </c>
      <c r="M46" s="54"/>
      <c r="N46" s="54"/>
      <c r="O46" s="54"/>
      <c r="P46" s="119">
        <f>O46*3000</f>
        <v>0</v>
      </c>
      <c r="Q46" s="54"/>
      <c r="R46" s="180"/>
    </row>
    <row r="47" spans="1:18" s="38" customFormat="1" ht="15.75" thickBot="1" x14ac:dyDescent="0.3">
      <c r="A47" s="187"/>
      <c r="B47" s="188" t="s">
        <v>54</v>
      </c>
      <c r="C47" s="241">
        <f t="shared" si="10"/>
        <v>26</v>
      </c>
      <c r="D47" s="241">
        <f t="shared" si="10"/>
        <v>117000</v>
      </c>
      <c r="E47" s="241">
        <f t="shared" si="10"/>
        <v>0</v>
      </c>
      <c r="F47" s="241">
        <f t="shared" si="10"/>
        <v>0</v>
      </c>
      <c r="G47" s="249">
        <v>12</v>
      </c>
      <c r="H47" s="189">
        <f>G47*4500</f>
        <v>54000</v>
      </c>
      <c r="I47" s="202"/>
      <c r="J47" s="202"/>
      <c r="K47" s="120">
        <v>7</v>
      </c>
      <c r="L47" s="189">
        <f>K47*4500</f>
        <v>31500</v>
      </c>
      <c r="M47" s="202"/>
      <c r="N47" s="202"/>
      <c r="O47" s="120">
        <v>7</v>
      </c>
      <c r="P47" s="189">
        <f>O47*4500</f>
        <v>31500</v>
      </c>
      <c r="Q47" s="202"/>
      <c r="R47" s="191"/>
    </row>
    <row r="48" spans="1:18" ht="13.5" thickBot="1" x14ac:dyDescent="0.25">
      <c r="A48" s="171"/>
      <c r="B48" s="172" t="s">
        <v>154</v>
      </c>
      <c r="C48" s="173">
        <f>SUM(C14:C47)</f>
        <v>347</v>
      </c>
      <c r="D48" s="173">
        <f t="shared" ref="D48:R48" si="11">SUM(D14:D47)</f>
        <v>928700</v>
      </c>
      <c r="E48" s="173">
        <f t="shared" si="11"/>
        <v>0</v>
      </c>
      <c r="F48" s="173">
        <f t="shared" si="11"/>
        <v>0</v>
      </c>
      <c r="G48" s="173">
        <f t="shared" si="11"/>
        <v>143</v>
      </c>
      <c r="H48" s="173">
        <f t="shared" si="11"/>
        <v>431100</v>
      </c>
      <c r="I48" s="173">
        <f t="shared" si="11"/>
        <v>0</v>
      </c>
      <c r="J48" s="173">
        <f t="shared" si="11"/>
        <v>0</v>
      </c>
      <c r="K48" s="173">
        <f t="shared" si="11"/>
        <v>107</v>
      </c>
      <c r="L48" s="173">
        <f t="shared" si="11"/>
        <v>260500</v>
      </c>
      <c r="M48" s="173">
        <f t="shared" si="11"/>
        <v>0</v>
      </c>
      <c r="N48" s="173">
        <f t="shared" si="11"/>
        <v>0</v>
      </c>
      <c r="O48" s="173">
        <f t="shared" si="11"/>
        <v>97</v>
      </c>
      <c r="P48" s="173">
        <f t="shared" si="11"/>
        <v>237100</v>
      </c>
      <c r="Q48" s="173">
        <f t="shared" si="11"/>
        <v>0</v>
      </c>
      <c r="R48" s="173">
        <f t="shared" si="11"/>
        <v>0</v>
      </c>
    </row>
    <row r="49" spans="1:18" s="38" customFormat="1" x14ac:dyDescent="0.2">
      <c r="A49" s="175" t="s">
        <v>6</v>
      </c>
      <c r="B49" s="194" t="s">
        <v>61</v>
      </c>
      <c r="C49" s="213"/>
      <c r="D49" s="213"/>
      <c r="E49" s="213"/>
      <c r="F49" s="213"/>
      <c r="G49" s="177"/>
      <c r="H49" s="178"/>
      <c r="I49" s="177"/>
      <c r="J49" s="177"/>
      <c r="K49" s="177"/>
      <c r="L49" s="178"/>
      <c r="M49" s="177"/>
      <c r="N49" s="177"/>
      <c r="O49" s="177"/>
      <c r="P49" s="178"/>
      <c r="Q49" s="177"/>
      <c r="R49" s="179"/>
    </row>
    <row r="50" spans="1:18" s="38" customFormat="1" ht="15" x14ac:dyDescent="0.25">
      <c r="A50" s="25"/>
      <c r="B50" s="48" t="s">
        <v>64</v>
      </c>
      <c r="C50" s="64">
        <f t="shared" ref="C50:F56" si="12">G50+K50+O50</f>
        <v>16</v>
      </c>
      <c r="D50" s="64">
        <f t="shared" si="12"/>
        <v>128000</v>
      </c>
      <c r="E50" s="64">
        <f t="shared" si="12"/>
        <v>0</v>
      </c>
      <c r="F50" s="64">
        <f t="shared" si="12"/>
        <v>0</v>
      </c>
      <c r="G50" s="49">
        <v>6</v>
      </c>
      <c r="H50" s="119">
        <f>G50*8000</f>
        <v>48000</v>
      </c>
      <c r="I50" s="54"/>
      <c r="J50" s="54"/>
      <c r="K50" s="47">
        <v>5</v>
      </c>
      <c r="L50" s="119">
        <f>K50*8000</f>
        <v>40000</v>
      </c>
      <c r="M50" s="54"/>
      <c r="N50" s="54"/>
      <c r="O50" s="47">
        <v>5</v>
      </c>
      <c r="P50" s="119">
        <f>O50*8000</f>
        <v>40000</v>
      </c>
      <c r="Q50" s="54"/>
      <c r="R50" s="180"/>
    </row>
    <row r="51" spans="1:18" s="38" customFormat="1" ht="15" x14ac:dyDescent="0.25">
      <c r="A51" s="25"/>
      <c r="B51" s="48" t="s">
        <v>65</v>
      </c>
      <c r="C51" s="64">
        <f t="shared" si="12"/>
        <v>5</v>
      </c>
      <c r="D51" s="64">
        <f t="shared" si="12"/>
        <v>90000</v>
      </c>
      <c r="E51" s="64">
        <f t="shared" si="12"/>
        <v>0</v>
      </c>
      <c r="F51" s="64">
        <f t="shared" si="12"/>
        <v>0</v>
      </c>
      <c r="G51" s="49">
        <v>2</v>
      </c>
      <c r="H51" s="119">
        <f>G51*18000</f>
        <v>36000</v>
      </c>
      <c r="I51" s="54"/>
      <c r="J51" s="54"/>
      <c r="K51" s="47">
        <v>2</v>
      </c>
      <c r="L51" s="119">
        <f>K51*18000</f>
        <v>36000</v>
      </c>
      <c r="M51" s="54"/>
      <c r="N51" s="54"/>
      <c r="O51" s="47">
        <v>1</v>
      </c>
      <c r="P51" s="119">
        <f>O51*18000</f>
        <v>18000</v>
      </c>
      <c r="Q51" s="54"/>
      <c r="R51" s="180"/>
    </row>
    <row r="52" spans="1:18" s="38" customFormat="1" ht="15" x14ac:dyDescent="0.25">
      <c r="A52" s="25"/>
      <c r="B52" s="193" t="s">
        <v>66</v>
      </c>
      <c r="C52" s="64">
        <f t="shared" si="12"/>
        <v>4</v>
      </c>
      <c r="D52" s="64">
        <f t="shared" si="12"/>
        <v>12000</v>
      </c>
      <c r="E52" s="64">
        <f t="shared" si="12"/>
        <v>0</v>
      </c>
      <c r="F52" s="64">
        <f t="shared" si="12"/>
        <v>0</v>
      </c>
      <c r="G52" s="49">
        <v>2</v>
      </c>
      <c r="H52" s="119">
        <f>G52*3000</f>
        <v>6000</v>
      </c>
      <c r="I52" s="54"/>
      <c r="J52" s="54"/>
      <c r="K52" s="47">
        <v>1</v>
      </c>
      <c r="L52" s="119">
        <f>K52*3000</f>
        <v>3000</v>
      </c>
      <c r="M52" s="54"/>
      <c r="N52" s="54"/>
      <c r="O52" s="54">
        <v>1</v>
      </c>
      <c r="P52" s="119">
        <f>O52*3000</f>
        <v>3000</v>
      </c>
      <c r="Q52" s="54"/>
      <c r="R52" s="180"/>
    </row>
    <row r="53" spans="1:18" s="38" customFormat="1" ht="15" x14ac:dyDescent="0.25">
      <c r="A53" s="25"/>
      <c r="B53" s="48" t="s">
        <v>67</v>
      </c>
      <c r="C53" s="64">
        <f t="shared" si="12"/>
        <v>8</v>
      </c>
      <c r="D53" s="64">
        <f t="shared" si="12"/>
        <v>48000</v>
      </c>
      <c r="E53" s="64">
        <f t="shared" si="12"/>
        <v>0</v>
      </c>
      <c r="F53" s="64">
        <f t="shared" si="12"/>
        <v>0</v>
      </c>
      <c r="G53" s="49">
        <v>4</v>
      </c>
      <c r="H53" s="119">
        <f>G53*6000</f>
        <v>24000</v>
      </c>
      <c r="I53" s="54"/>
      <c r="J53" s="54"/>
      <c r="K53" s="47">
        <v>2</v>
      </c>
      <c r="L53" s="119">
        <f>K53*6000</f>
        <v>12000</v>
      </c>
      <c r="M53" s="54"/>
      <c r="N53" s="54"/>
      <c r="O53" s="47">
        <v>2</v>
      </c>
      <c r="P53" s="119">
        <f>O53*6000</f>
        <v>12000</v>
      </c>
      <c r="Q53" s="54"/>
      <c r="R53" s="180"/>
    </row>
    <row r="54" spans="1:18" s="38" customFormat="1" ht="15" x14ac:dyDescent="0.25">
      <c r="A54" s="25"/>
      <c r="B54" s="48" t="s">
        <v>68</v>
      </c>
      <c r="C54" s="64">
        <f t="shared" si="12"/>
        <v>1</v>
      </c>
      <c r="D54" s="64">
        <f t="shared" si="12"/>
        <v>8000</v>
      </c>
      <c r="E54" s="64">
        <f t="shared" si="12"/>
        <v>0</v>
      </c>
      <c r="F54" s="64">
        <f t="shared" si="12"/>
        <v>0</v>
      </c>
      <c r="G54" s="49">
        <v>1</v>
      </c>
      <c r="H54" s="119">
        <f>G54*8000</f>
        <v>8000</v>
      </c>
      <c r="I54" s="54"/>
      <c r="J54" s="54"/>
      <c r="K54" s="47"/>
      <c r="L54" s="119"/>
      <c r="M54" s="54"/>
      <c r="N54" s="54"/>
      <c r="O54" s="47"/>
      <c r="P54" s="119"/>
      <c r="Q54" s="54"/>
      <c r="R54" s="180"/>
    </row>
    <row r="55" spans="1:18" s="38" customFormat="1" x14ac:dyDescent="0.2">
      <c r="A55" s="143"/>
      <c r="B55" s="48" t="s">
        <v>69</v>
      </c>
      <c r="C55" s="64">
        <f t="shared" si="12"/>
        <v>0</v>
      </c>
      <c r="D55" s="64">
        <f t="shared" si="12"/>
        <v>0</v>
      </c>
      <c r="E55" s="64">
        <f t="shared" si="12"/>
        <v>0</v>
      </c>
      <c r="F55" s="64">
        <f t="shared" si="12"/>
        <v>0</v>
      </c>
      <c r="G55" s="54"/>
      <c r="H55" s="119">
        <f>G55*5000</f>
        <v>0</v>
      </c>
      <c r="I55" s="54"/>
      <c r="J55" s="54"/>
      <c r="K55" s="54"/>
      <c r="L55" s="119"/>
      <c r="M55" s="54"/>
      <c r="N55" s="54"/>
      <c r="O55" s="54"/>
      <c r="P55" s="119"/>
      <c r="Q55" s="54"/>
      <c r="R55" s="180"/>
    </row>
    <row r="56" spans="1:18" s="38" customFormat="1" x14ac:dyDescent="0.2">
      <c r="A56" s="143"/>
      <c r="B56" s="48" t="s">
        <v>70</v>
      </c>
      <c r="C56" s="64">
        <f t="shared" si="12"/>
        <v>0</v>
      </c>
      <c r="D56" s="64">
        <f t="shared" si="12"/>
        <v>0</v>
      </c>
      <c r="E56" s="64">
        <f t="shared" si="12"/>
        <v>0</v>
      </c>
      <c r="F56" s="64">
        <f t="shared" si="12"/>
        <v>0</v>
      </c>
      <c r="G56" s="54"/>
      <c r="H56" s="119"/>
      <c r="I56" s="54"/>
      <c r="J56" s="54"/>
      <c r="K56" s="54"/>
      <c r="L56" s="119"/>
      <c r="M56" s="54"/>
      <c r="N56" s="54"/>
      <c r="O56" s="54"/>
      <c r="P56" s="119"/>
      <c r="Q56" s="54"/>
      <c r="R56" s="180"/>
    </row>
    <row r="57" spans="1:18" s="38" customFormat="1" x14ac:dyDescent="0.2">
      <c r="A57" s="143"/>
      <c r="B57" s="48" t="s">
        <v>71</v>
      </c>
      <c r="C57" s="64">
        <f>G57+K57+O57</f>
        <v>0</v>
      </c>
      <c r="D57" s="64">
        <f>H57+L57+P57</f>
        <v>0</v>
      </c>
      <c r="E57" s="64">
        <f>I57+M57+Q57</f>
        <v>0</v>
      </c>
      <c r="F57" s="64">
        <f>J57+N57+R57</f>
        <v>0</v>
      </c>
      <c r="G57" s="54"/>
      <c r="H57" s="119"/>
      <c r="I57" s="54"/>
      <c r="J57" s="54"/>
      <c r="K57" s="54"/>
      <c r="L57" s="119"/>
      <c r="M57" s="54"/>
      <c r="N57" s="54"/>
      <c r="O57" s="54"/>
      <c r="P57" s="119"/>
      <c r="Q57" s="54"/>
      <c r="R57" s="180"/>
    </row>
    <row r="58" spans="1:18" s="38" customFormat="1" ht="15" x14ac:dyDescent="0.25">
      <c r="A58" s="143"/>
      <c r="B58" s="48" t="s">
        <v>72</v>
      </c>
      <c r="C58" s="64">
        <f t="shared" ref="C58:C59" si="13">G58+K58+O58</f>
        <v>0</v>
      </c>
      <c r="D58" s="64">
        <f t="shared" ref="D58:D59" si="14">H58+L58+P58</f>
        <v>0</v>
      </c>
      <c r="E58" s="64">
        <f t="shared" ref="E58:E59" si="15">I58+M58+Q58</f>
        <v>0</v>
      </c>
      <c r="F58" s="64">
        <f t="shared" ref="F58:F59" si="16">J58+N58+R58</f>
        <v>0</v>
      </c>
      <c r="G58" s="49"/>
      <c r="H58" s="119"/>
      <c r="I58" s="54"/>
      <c r="J58" s="54"/>
      <c r="K58" s="47"/>
      <c r="L58" s="119"/>
      <c r="M58" s="54"/>
      <c r="N58" s="54"/>
      <c r="O58" s="47"/>
      <c r="P58" s="47"/>
      <c r="Q58" s="54"/>
      <c r="R58" s="180"/>
    </row>
    <row r="59" spans="1:18" s="38" customFormat="1" ht="15.75" thickBot="1" x14ac:dyDescent="0.3">
      <c r="A59" s="195"/>
      <c r="B59" s="182" t="s">
        <v>73</v>
      </c>
      <c r="C59" s="239">
        <f t="shared" si="13"/>
        <v>2</v>
      </c>
      <c r="D59" s="239">
        <f t="shared" si="14"/>
        <v>1269000</v>
      </c>
      <c r="E59" s="239">
        <f t="shared" si="15"/>
        <v>0</v>
      </c>
      <c r="F59" s="239">
        <f t="shared" si="16"/>
        <v>0</v>
      </c>
      <c r="G59" s="317">
        <v>1</v>
      </c>
      <c r="H59" s="184">
        <f>720000+34500</f>
        <v>754500</v>
      </c>
      <c r="I59" s="200"/>
      <c r="J59" s="200"/>
      <c r="K59" s="183"/>
      <c r="L59" s="184"/>
      <c r="M59" s="200"/>
      <c r="N59" s="200"/>
      <c r="O59" s="183">
        <v>1</v>
      </c>
      <c r="P59" s="183">
        <f>480000+34500</f>
        <v>514500</v>
      </c>
      <c r="Q59" s="200"/>
      <c r="R59" s="186"/>
    </row>
    <row r="60" spans="1:18" ht="13.5" thickBot="1" x14ac:dyDescent="0.25">
      <c r="A60" s="232"/>
      <c r="B60" s="255" t="s">
        <v>156</v>
      </c>
      <c r="C60" s="256">
        <f t="shared" ref="C60:P60" si="17">SUM(C50:C59)</f>
        <v>36</v>
      </c>
      <c r="D60" s="256">
        <f t="shared" si="17"/>
        <v>1555000</v>
      </c>
      <c r="E60" s="256">
        <f t="shared" si="17"/>
        <v>0</v>
      </c>
      <c r="F60" s="256">
        <f t="shared" si="17"/>
        <v>0</v>
      </c>
      <c r="G60" s="256">
        <f t="shared" si="17"/>
        <v>16</v>
      </c>
      <c r="H60" s="256">
        <f t="shared" si="17"/>
        <v>876500</v>
      </c>
      <c r="I60" s="256">
        <f t="shared" si="17"/>
        <v>0</v>
      </c>
      <c r="J60" s="256">
        <f t="shared" si="17"/>
        <v>0</v>
      </c>
      <c r="K60" s="256">
        <f t="shared" si="17"/>
        <v>10</v>
      </c>
      <c r="L60" s="256">
        <f t="shared" si="17"/>
        <v>91000</v>
      </c>
      <c r="M60" s="256">
        <f t="shared" si="17"/>
        <v>0</v>
      </c>
      <c r="N60" s="256">
        <f t="shared" si="17"/>
        <v>0</v>
      </c>
      <c r="O60" s="256">
        <f t="shared" si="17"/>
        <v>10</v>
      </c>
      <c r="P60" s="256">
        <f t="shared" si="17"/>
        <v>587500</v>
      </c>
      <c r="Q60" s="256">
        <f>SUM(Q50:Q58)</f>
        <v>0</v>
      </c>
      <c r="R60" s="256">
        <f>SUM(R50:R58)</f>
        <v>0</v>
      </c>
    </row>
    <row r="61" spans="1:18" s="38" customFormat="1" x14ac:dyDescent="0.2">
      <c r="A61" s="175" t="s">
        <v>7</v>
      </c>
      <c r="B61" s="176" t="s">
        <v>74</v>
      </c>
      <c r="C61" s="213"/>
      <c r="D61" s="213"/>
      <c r="E61" s="213"/>
      <c r="F61" s="213"/>
      <c r="G61" s="177"/>
      <c r="H61" s="178"/>
      <c r="I61" s="177"/>
      <c r="J61" s="177"/>
      <c r="K61" s="177"/>
      <c r="L61" s="178"/>
      <c r="M61" s="177"/>
      <c r="N61" s="177"/>
      <c r="O61" s="177"/>
      <c r="P61" s="178"/>
      <c r="Q61" s="177"/>
      <c r="R61" s="179"/>
    </row>
    <row r="62" spans="1:18" s="38" customFormat="1" x14ac:dyDescent="0.2">
      <c r="A62" s="25"/>
      <c r="B62" s="135" t="s">
        <v>75</v>
      </c>
      <c r="C62" s="64">
        <f t="shared" ref="C62:F72" si="18">G62+K62+O62</f>
        <v>0</v>
      </c>
      <c r="D62" s="64">
        <f t="shared" si="18"/>
        <v>0</v>
      </c>
      <c r="E62" s="64">
        <f t="shared" si="18"/>
        <v>0</v>
      </c>
      <c r="F62" s="64">
        <f t="shared" si="18"/>
        <v>0</v>
      </c>
      <c r="G62" s="54"/>
      <c r="H62" s="119"/>
      <c r="I62" s="54"/>
      <c r="J62" s="54"/>
      <c r="K62" s="54"/>
      <c r="L62" s="119"/>
      <c r="M62" s="54"/>
      <c r="N62" s="54"/>
      <c r="O62" s="54"/>
      <c r="P62" s="119"/>
      <c r="Q62" s="54"/>
      <c r="R62" s="180"/>
    </row>
    <row r="63" spans="1:18" s="38" customFormat="1" x14ac:dyDescent="0.2">
      <c r="A63" s="25"/>
      <c r="B63" s="135" t="s">
        <v>76</v>
      </c>
      <c r="C63" s="64">
        <f t="shared" si="18"/>
        <v>0</v>
      </c>
      <c r="D63" s="64">
        <f t="shared" si="18"/>
        <v>0</v>
      </c>
      <c r="E63" s="64">
        <f t="shared" si="18"/>
        <v>0</v>
      </c>
      <c r="F63" s="64">
        <f t="shared" si="18"/>
        <v>0</v>
      </c>
      <c r="G63" s="54"/>
      <c r="H63" s="119"/>
      <c r="I63" s="54"/>
      <c r="J63" s="54"/>
      <c r="K63" s="54"/>
      <c r="L63" s="119"/>
      <c r="M63" s="54"/>
      <c r="N63" s="54"/>
      <c r="O63" s="54"/>
      <c r="P63" s="119"/>
      <c r="Q63" s="54"/>
      <c r="R63" s="180"/>
    </row>
    <row r="64" spans="1:18" s="38" customFormat="1" ht="14.25" x14ac:dyDescent="0.2">
      <c r="A64" s="25"/>
      <c r="B64" s="135" t="s">
        <v>77</v>
      </c>
      <c r="C64" s="64">
        <f t="shared" si="18"/>
        <v>5</v>
      </c>
      <c r="D64" s="64">
        <f t="shared" si="18"/>
        <v>15000</v>
      </c>
      <c r="E64" s="64">
        <f t="shared" si="18"/>
        <v>0</v>
      </c>
      <c r="F64" s="64">
        <f t="shared" si="18"/>
        <v>0</v>
      </c>
      <c r="G64" s="49">
        <v>3</v>
      </c>
      <c r="H64" s="119">
        <f>G64*3000</f>
        <v>9000</v>
      </c>
      <c r="I64" s="54"/>
      <c r="J64" s="54"/>
      <c r="K64" s="54">
        <v>1</v>
      </c>
      <c r="L64" s="119">
        <f>K64*3000</f>
        <v>3000</v>
      </c>
      <c r="M64" s="54"/>
      <c r="N64" s="54"/>
      <c r="O64" s="54">
        <v>1</v>
      </c>
      <c r="P64" s="119">
        <f>O64*3000</f>
        <v>3000</v>
      </c>
      <c r="Q64" s="54"/>
      <c r="R64" s="180"/>
    </row>
    <row r="65" spans="1:18" s="38" customFormat="1" ht="15" x14ac:dyDescent="0.25">
      <c r="A65" s="25"/>
      <c r="B65" s="135" t="s">
        <v>78</v>
      </c>
      <c r="C65" s="64">
        <f t="shared" si="18"/>
        <v>4</v>
      </c>
      <c r="D65" s="64">
        <f t="shared" si="18"/>
        <v>10000</v>
      </c>
      <c r="E65" s="64">
        <f t="shared" si="18"/>
        <v>0</v>
      </c>
      <c r="F65" s="64">
        <f t="shared" si="18"/>
        <v>0</v>
      </c>
      <c r="G65" s="49">
        <v>2</v>
      </c>
      <c r="H65" s="119">
        <f>G65*2500</f>
        <v>5000</v>
      </c>
      <c r="I65" s="54"/>
      <c r="J65" s="54"/>
      <c r="K65" s="47">
        <v>1</v>
      </c>
      <c r="L65" s="119">
        <f>K65*2500</f>
        <v>2500</v>
      </c>
      <c r="M65" s="54"/>
      <c r="N65" s="54"/>
      <c r="O65" s="54">
        <v>1</v>
      </c>
      <c r="P65" s="119">
        <f>O65*2500</f>
        <v>2500</v>
      </c>
      <c r="Q65" s="54"/>
      <c r="R65" s="180"/>
    </row>
    <row r="66" spans="1:18" s="38" customFormat="1" ht="14.25" x14ac:dyDescent="0.2">
      <c r="A66" s="25"/>
      <c r="B66" s="135" t="s">
        <v>79</v>
      </c>
      <c r="C66" s="64">
        <f t="shared" si="18"/>
        <v>5</v>
      </c>
      <c r="D66" s="64">
        <f t="shared" si="18"/>
        <v>40000</v>
      </c>
      <c r="E66" s="64">
        <f t="shared" si="18"/>
        <v>0</v>
      </c>
      <c r="F66" s="64">
        <f t="shared" si="18"/>
        <v>0</v>
      </c>
      <c r="G66" s="49">
        <v>3</v>
      </c>
      <c r="H66" s="119">
        <f>G66*8000</f>
        <v>24000</v>
      </c>
      <c r="I66" s="54"/>
      <c r="J66" s="54"/>
      <c r="K66" s="54">
        <v>1</v>
      </c>
      <c r="L66" s="119">
        <f>K66*8000</f>
        <v>8000</v>
      </c>
      <c r="M66" s="54"/>
      <c r="N66" s="54"/>
      <c r="O66" s="54">
        <v>1</v>
      </c>
      <c r="P66" s="119">
        <f>O66*8000</f>
        <v>8000</v>
      </c>
      <c r="Q66" s="54"/>
      <c r="R66" s="180"/>
    </row>
    <row r="67" spans="1:18" s="38" customFormat="1" x14ac:dyDescent="0.2">
      <c r="A67" s="25"/>
      <c r="B67" s="135" t="s">
        <v>80</v>
      </c>
      <c r="C67" s="64">
        <f t="shared" si="18"/>
        <v>1</v>
      </c>
      <c r="D67" s="64">
        <f t="shared" si="18"/>
        <v>25000</v>
      </c>
      <c r="E67" s="64">
        <f t="shared" si="18"/>
        <v>0</v>
      </c>
      <c r="F67" s="64">
        <f t="shared" si="18"/>
        <v>0</v>
      </c>
      <c r="G67" s="54"/>
      <c r="H67" s="119"/>
      <c r="I67" s="54"/>
      <c r="J67" s="54"/>
      <c r="K67" s="54"/>
      <c r="L67" s="119"/>
      <c r="M67" s="54"/>
      <c r="N67" s="54"/>
      <c r="O67" s="54">
        <v>1</v>
      </c>
      <c r="P67" s="119">
        <v>25000</v>
      </c>
      <c r="Q67" s="54"/>
      <c r="R67" s="180"/>
    </row>
    <row r="68" spans="1:18" s="38" customFormat="1" x14ac:dyDescent="0.2">
      <c r="A68" s="25"/>
      <c r="B68" s="135" t="s">
        <v>81</v>
      </c>
      <c r="C68" s="64">
        <f t="shared" si="18"/>
        <v>0</v>
      </c>
      <c r="D68" s="64">
        <f t="shared" si="18"/>
        <v>0</v>
      </c>
      <c r="E68" s="64">
        <f t="shared" si="18"/>
        <v>0</v>
      </c>
      <c r="F68" s="64">
        <f t="shared" si="18"/>
        <v>0</v>
      </c>
      <c r="G68" s="54"/>
      <c r="H68" s="119"/>
      <c r="I68" s="54"/>
      <c r="J68" s="54"/>
      <c r="K68" s="54"/>
      <c r="L68" s="119"/>
      <c r="M68" s="54"/>
      <c r="N68" s="54"/>
      <c r="O68" s="54"/>
      <c r="P68" s="119"/>
      <c r="Q68" s="54"/>
      <c r="R68" s="180"/>
    </row>
    <row r="69" spans="1:18" s="38" customFormat="1" x14ac:dyDescent="0.2">
      <c r="A69" s="25"/>
      <c r="B69" s="135" t="s">
        <v>82</v>
      </c>
      <c r="C69" s="64">
        <f t="shared" si="18"/>
        <v>0</v>
      </c>
      <c r="D69" s="64">
        <f t="shared" si="18"/>
        <v>0</v>
      </c>
      <c r="E69" s="64">
        <f t="shared" si="18"/>
        <v>0</v>
      </c>
      <c r="F69" s="64">
        <f t="shared" si="18"/>
        <v>0</v>
      </c>
      <c r="G69" s="54"/>
      <c r="H69" s="119"/>
      <c r="I69" s="54"/>
      <c r="J69" s="54"/>
      <c r="K69" s="54"/>
      <c r="L69" s="119"/>
      <c r="M69" s="54"/>
      <c r="N69" s="54"/>
      <c r="O69" s="54"/>
      <c r="P69" s="119"/>
      <c r="Q69" s="54"/>
      <c r="R69" s="180"/>
    </row>
    <row r="70" spans="1:18" s="38" customFormat="1" x14ac:dyDescent="0.2">
      <c r="A70" s="25"/>
      <c r="B70" s="135" t="s">
        <v>83</v>
      </c>
      <c r="C70" s="64">
        <f t="shared" si="18"/>
        <v>0</v>
      </c>
      <c r="D70" s="64">
        <f t="shared" si="18"/>
        <v>0</v>
      </c>
      <c r="E70" s="64">
        <f t="shared" si="18"/>
        <v>0</v>
      </c>
      <c r="F70" s="64">
        <f t="shared" si="18"/>
        <v>0</v>
      </c>
      <c r="G70" s="54"/>
      <c r="H70" s="119"/>
      <c r="I70" s="54"/>
      <c r="J70" s="54"/>
      <c r="K70" s="54"/>
      <c r="L70" s="119"/>
      <c r="M70" s="54"/>
      <c r="N70" s="54"/>
      <c r="O70" s="54"/>
      <c r="P70" s="119"/>
      <c r="Q70" s="54"/>
      <c r="R70" s="180"/>
    </row>
    <row r="71" spans="1:18" s="38" customFormat="1" x14ac:dyDescent="0.2">
      <c r="A71" s="25"/>
      <c r="B71" s="135" t="s">
        <v>84</v>
      </c>
      <c r="C71" s="64">
        <f t="shared" si="18"/>
        <v>0</v>
      </c>
      <c r="D71" s="64">
        <f t="shared" si="18"/>
        <v>0</v>
      </c>
      <c r="E71" s="64">
        <f t="shared" si="18"/>
        <v>0</v>
      </c>
      <c r="F71" s="64">
        <f t="shared" si="18"/>
        <v>0</v>
      </c>
      <c r="G71" s="54"/>
      <c r="H71" s="119"/>
      <c r="I71" s="54"/>
      <c r="J71" s="54"/>
      <c r="K71" s="54"/>
      <c r="L71" s="119"/>
      <c r="M71" s="54"/>
      <c r="N71" s="54"/>
      <c r="O71" s="54"/>
      <c r="P71" s="119"/>
      <c r="Q71" s="54"/>
      <c r="R71" s="180"/>
    </row>
    <row r="72" spans="1:18" s="38" customFormat="1" ht="15" thickBot="1" x14ac:dyDescent="0.25">
      <c r="A72" s="187"/>
      <c r="B72" s="201" t="s">
        <v>85</v>
      </c>
      <c r="C72" s="241">
        <f t="shared" si="18"/>
        <v>8</v>
      </c>
      <c r="D72" s="241">
        <f t="shared" si="18"/>
        <v>16000</v>
      </c>
      <c r="E72" s="241">
        <f t="shared" si="18"/>
        <v>0</v>
      </c>
      <c r="F72" s="241">
        <f t="shared" si="18"/>
        <v>0</v>
      </c>
      <c r="G72" s="249">
        <v>3</v>
      </c>
      <c r="H72" s="189">
        <f>G72*2000</f>
        <v>6000</v>
      </c>
      <c r="I72" s="202"/>
      <c r="J72" s="202"/>
      <c r="K72" s="202">
        <v>3</v>
      </c>
      <c r="L72" s="189">
        <f>K72*2000</f>
        <v>6000</v>
      </c>
      <c r="M72" s="202"/>
      <c r="N72" s="202"/>
      <c r="O72" s="202">
        <v>2</v>
      </c>
      <c r="P72" s="189">
        <f>O72*2000</f>
        <v>4000</v>
      </c>
      <c r="Q72" s="202"/>
      <c r="R72" s="191"/>
    </row>
    <row r="73" spans="1:18" ht="13.5" thickBot="1" x14ac:dyDescent="0.25">
      <c r="A73" s="171"/>
      <c r="B73" s="172" t="s">
        <v>157</v>
      </c>
      <c r="C73" s="173">
        <f t="shared" ref="C73:R73" si="19">SUM(C62:C72)</f>
        <v>23</v>
      </c>
      <c r="D73" s="173">
        <f t="shared" si="19"/>
        <v>106000</v>
      </c>
      <c r="E73" s="173">
        <f t="shared" si="19"/>
        <v>0</v>
      </c>
      <c r="F73" s="173">
        <f t="shared" si="19"/>
        <v>0</v>
      </c>
      <c r="G73" s="173">
        <f t="shared" si="19"/>
        <v>11</v>
      </c>
      <c r="H73" s="173">
        <f t="shared" si="19"/>
        <v>44000</v>
      </c>
      <c r="I73" s="173">
        <f t="shared" si="19"/>
        <v>0</v>
      </c>
      <c r="J73" s="173">
        <f t="shared" si="19"/>
        <v>0</v>
      </c>
      <c r="K73" s="173">
        <f t="shared" si="19"/>
        <v>6</v>
      </c>
      <c r="L73" s="173">
        <f t="shared" si="19"/>
        <v>19500</v>
      </c>
      <c r="M73" s="173">
        <f t="shared" si="19"/>
        <v>0</v>
      </c>
      <c r="N73" s="173">
        <f t="shared" si="19"/>
        <v>0</v>
      </c>
      <c r="O73" s="173">
        <f t="shared" si="19"/>
        <v>6</v>
      </c>
      <c r="P73" s="173">
        <f t="shared" si="19"/>
        <v>42500</v>
      </c>
      <c r="Q73" s="173">
        <f t="shared" si="19"/>
        <v>0</v>
      </c>
      <c r="R73" s="174">
        <f t="shared" si="19"/>
        <v>0</v>
      </c>
    </row>
    <row r="74" spans="1:18" s="38" customFormat="1" x14ac:dyDescent="0.2">
      <c r="A74" s="175" t="s">
        <v>8</v>
      </c>
      <c r="B74" s="194" t="s">
        <v>86</v>
      </c>
      <c r="C74" s="213"/>
      <c r="D74" s="213"/>
      <c r="E74" s="213"/>
      <c r="F74" s="213"/>
      <c r="G74" s="177"/>
      <c r="H74" s="178"/>
      <c r="I74" s="177"/>
      <c r="J74" s="177"/>
      <c r="K74" s="177"/>
      <c r="L74" s="178"/>
      <c r="M74" s="177"/>
      <c r="N74" s="177"/>
      <c r="O74" s="177"/>
      <c r="P74" s="178"/>
      <c r="Q74" s="177"/>
      <c r="R74" s="179"/>
    </row>
    <row r="75" spans="1:18" s="38" customFormat="1" x14ac:dyDescent="0.2">
      <c r="A75" s="25"/>
      <c r="B75" s="193" t="s">
        <v>87</v>
      </c>
      <c r="C75" s="64">
        <f t="shared" ref="C75:F76" si="20">G75+K75+O75</f>
        <v>0</v>
      </c>
      <c r="D75" s="64">
        <f t="shared" si="20"/>
        <v>0</v>
      </c>
      <c r="E75" s="64">
        <f t="shared" si="20"/>
        <v>0</v>
      </c>
      <c r="F75" s="64">
        <f t="shared" si="20"/>
        <v>0</v>
      </c>
      <c r="G75" s="54"/>
      <c r="H75" s="119"/>
      <c r="I75" s="54"/>
      <c r="J75" s="54"/>
      <c r="K75" s="54"/>
      <c r="L75" s="119"/>
      <c r="M75" s="54"/>
      <c r="N75" s="54"/>
      <c r="O75" s="54"/>
      <c r="P75" s="119"/>
      <c r="Q75" s="54"/>
      <c r="R75" s="180"/>
    </row>
    <row r="76" spans="1:18" s="38" customFormat="1" ht="25.5" x14ac:dyDescent="0.2">
      <c r="A76" s="187"/>
      <c r="B76" s="204" t="s">
        <v>88</v>
      </c>
      <c r="C76" s="241">
        <f t="shared" si="20"/>
        <v>10</v>
      </c>
      <c r="D76" s="241">
        <f t="shared" si="20"/>
        <v>6000</v>
      </c>
      <c r="E76" s="241">
        <f t="shared" si="20"/>
        <v>0</v>
      </c>
      <c r="F76" s="241">
        <f t="shared" si="20"/>
        <v>0</v>
      </c>
      <c r="G76" s="202"/>
      <c r="H76" s="189"/>
      <c r="I76" s="202"/>
      <c r="J76" s="202"/>
      <c r="K76" s="202"/>
      <c r="L76" s="189"/>
      <c r="M76" s="202"/>
      <c r="N76" s="202"/>
      <c r="O76" s="202">
        <v>10</v>
      </c>
      <c r="P76" s="189">
        <v>6000</v>
      </c>
      <c r="Q76" s="202"/>
      <c r="R76" s="191"/>
    </row>
    <row r="77" spans="1:18" ht="13.5" thickBot="1" x14ac:dyDescent="0.25">
      <c r="A77" s="250"/>
      <c r="B77" s="251" t="s">
        <v>158</v>
      </c>
      <c r="C77" s="252">
        <f t="shared" ref="C77:R77" si="21">SUM(C75:C76)</f>
        <v>10</v>
      </c>
      <c r="D77" s="252">
        <f t="shared" si="21"/>
        <v>6000</v>
      </c>
      <c r="E77" s="252">
        <f t="shared" si="21"/>
        <v>0</v>
      </c>
      <c r="F77" s="252">
        <f t="shared" si="21"/>
        <v>0</v>
      </c>
      <c r="G77" s="252">
        <f t="shared" si="21"/>
        <v>0</v>
      </c>
      <c r="H77" s="252">
        <f t="shared" si="21"/>
        <v>0</v>
      </c>
      <c r="I77" s="252">
        <f t="shared" si="21"/>
        <v>0</v>
      </c>
      <c r="J77" s="252">
        <f t="shared" si="21"/>
        <v>0</v>
      </c>
      <c r="K77" s="252">
        <f t="shared" si="21"/>
        <v>0</v>
      </c>
      <c r="L77" s="252">
        <f t="shared" si="21"/>
        <v>0</v>
      </c>
      <c r="M77" s="252">
        <f t="shared" si="21"/>
        <v>0</v>
      </c>
      <c r="N77" s="252">
        <f t="shared" si="21"/>
        <v>0</v>
      </c>
      <c r="O77" s="252">
        <f t="shared" si="21"/>
        <v>10</v>
      </c>
      <c r="P77" s="252">
        <f t="shared" si="21"/>
        <v>6000</v>
      </c>
      <c r="Q77" s="252">
        <f t="shared" si="21"/>
        <v>0</v>
      </c>
      <c r="R77" s="252">
        <f t="shared" si="21"/>
        <v>0</v>
      </c>
    </row>
    <row r="78" spans="1:18" s="38" customFormat="1" x14ac:dyDescent="0.2">
      <c r="A78" s="175" t="s">
        <v>9</v>
      </c>
      <c r="B78" s="176" t="s">
        <v>90</v>
      </c>
      <c r="C78" s="213"/>
      <c r="D78" s="213"/>
      <c r="E78" s="213"/>
      <c r="F78" s="213"/>
      <c r="G78" s="177"/>
      <c r="H78" s="178"/>
      <c r="I78" s="177"/>
      <c r="J78" s="177"/>
      <c r="K78" s="177"/>
      <c r="L78" s="178"/>
      <c r="M78" s="177"/>
      <c r="N78" s="177"/>
      <c r="O78" s="177"/>
      <c r="P78" s="178"/>
      <c r="Q78" s="177"/>
      <c r="R78" s="179"/>
    </row>
    <row r="79" spans="1:18" s="38" customFormat="1" ht="15" x14ac:dyDescent="0.25">
      <c r="A79" s="25"/>
      <c r="B79" s="205" t="s">
        <v>91</v>
      </c>
      <c r="C79" s="64">
        <f t="shared" ref="C79:F80" si="22">G79+K79+O79</f>
        <v>3</v>
      </c>
      <c r="D79" s="64">
        <f t="shared" si="22"/>
        <v>1650000</v>
      </c>
      <c r="E79" s="64">
        <f t="shared" si="22"/>
        <v>0</v>
      </c>
      <c r="F79" s="64">
        <f t="shared" si="22"/>
        <v>0</v>
      </c>
      <c r="G79" s="54">
        <v>1</v>
      </c>
      <c r="H79" s="119">
        <f>G79*550000</f>
        <v>550000</v>
      </c>
      <c r="I79" s="54"/>
      <c r="J79" s="54"/>
      <c r="K79" s="47">
        <v>1</v>
      </c>
      <c r="L79" s="119">
        <f>K79*550000</f>
        <v>550000</v>
      </c>
      <c r="M79" s="54"/>
      <c r="N79" s="54"/>
      <c r="O79" s="54">
        <v>1</v>
      </c>
      <c r="P79" s="119">
        <f>O79*550000</f>
        <v>550000</v>
      </c>
      <c r="Q79" s="54"/>
      <c r="R79" s="180"/>
    </row>
    <row r="80" spans="1:18" s="38" customFormat="1" ht="15" x14ac:dyDescent="0.25">
      <c r="A80" s="25"/>
      <c r="B80" s="205" t="s">
        <v>92</v>
      </c>
      <c r="C80" s="64">
        <f t="shared" si="22"/>
        <v>3</v>
      </c>
      <c r="D80" s="64">
        <f t="shared" si="22"/>
        <v>1350000</v>
      </c>
      <c r="E80" s="64">
        <f t="shared" si="22"/>
        <v>0</v>
      </c>
      <c r="F80" s="64">
        <f t="shared" si="22"/>
        <v>0</v>
      </c>
      <c r="G80" s="54">
        <v>1</v>
      </c>
      <c r="H80" s="119">
        <f>G80*450000</f>
        <v>450000</v>
      </c>
      <c r="I80" s="54"/>
      <c r="J80" s="54"/>
      <c r="K80" s="47">
        <v>1</v>
      </c>
      <c r="L80" s="119">
        <f>K80*450000</f>
        <v>450000</v>
      </c>
      <c r="M80" s="54"/>
      <c r="N80" s="54"/>
      <c r="O80" s="47">
        <v>1</v>
      </c>
      <c r="P80" s="119">
        <f>O80*450000</f>
        <v>450000</v>
      </c>
      <c r="Q80" s="54"/>
      <c r="R80" s="180"/>
    </row>
    <row r="81" spans="1:18" s="38" customFormat="1" ht="15" x14ac:dyDescent="0.25">
      <c r="A81" s="25"/>
      <c r="B81" s="205" t="s">
        <v>93</v>
      </c>
      <c r="C81" s="64"/>
      <c r="D81" s="64"/>
      <c r="E81" s="64"/>
      <c r="F81" s="64"/>
      <c r="G81" s="54">
        <v>0</v>
      </c>
      <c r="H81" s="119">
        <f>G81*15000</f>
        <v>0</v>
      </c>
      <c r="I81" s="54"/>
      <c r="J81" s="54"/>
      <c r="K81" s="47">
        <v>1</v>
      </c>
      <c r="L81" s="119">
        <f>K81*15000</f>
        <v>15000</v>
      </c>
      <c r="M81" s="54"/>
      <c r="N81" s="54"/>
      <c r="O81" s="47">
        <v>0</v>
      </c>
      <c r="P81" s="119">
        <f>O81*15000</f>
        <v>0</v>
      </c>
      <c r="Q81" s="54"/>
      <c r="R81" s="180"/>
    </row>
    <row r="82" spans="1:18" s="38" customFormat="1" ht="15" x14ac:dyDescent="0.25">
      <c r="A82" s="25"/>
      <c r="B82" s="205" t="s">
        <v>94</v>
      </c>
      <c r="C82" s="64">
        <f>G82+K82+O82</f>
        <v>3</v>
      </c>
      <c r="D82" s="64">
        <f>H82+L82+P82</f>
        <v>390000</v>
      </c>
      <c r="E82" s="64">
        <f>I82+M82+Q82</f>
        <v>0</v>
      </c>
      <c r="F82" s="64">
        <f>J82+N82+R82</f>
        <v>0</v>
      </c>
      <c r="G82" s="54">
        <v>2</v>
      </c>
      <c r="H82" s="119">
        <f>G82*130000</f>
        <v>260000</v>
      </c>
      <c r="I82" s="54"/>
      <c r="J82" s="54"/>
      <c r="K82" s="47">
        <v>1</v>
      </c>
      <c r="L82" s="119">
        <f>K82*130000</f>
        <v>130000</v>
      </c>
      <c r="M82" s="54"/>
      <c r="N82" s="54"/>
      <c r="O82" s="54">
        <v>0</v>
      </c>
      <c r="P82" s="119">
        <f>O82*130000</f>
        <v>0</v>
      </c>
      <c r="Q82" s="54"/>
      <c r="R82" s="180"/>
    </row>
    <row r="83" spans="1:18" s="38" customFormat="1" ht="15" x14ac:dyDescent="0.25">
      <c r="A83" s="25"/>
      <c r="B83" s="48" t="s">
        <v>95</v>
      </c>
      <c r="C83" s="64">
        <f t="shared" ref="C83:F91" si="23">G83+K83+O83</f>
        <v>5</v>
      </c>
      <c r="D83" s="64">
        <f t="shared" si="23"/>
        <v>25000</v>
      </c>
      <c r="E83" s="64">
        <f t="shared" si="23"/>
        <v>0</v>
      </c>
      <c r="F83" s="64">
        <f t="shared" si="23"/>
        <v>0</v>
      </c>
      <c r="G83" s="49">
        <v>2</v>
      </c>
      <c r="H83" s="119">
        <f>G83*5000</f>
        <v>10000</v>
      </c>
      <c r="I83" s="54"/>
      <c r="J83" s="54"/>
      <c r="K83" s="54">
        <v>1</v>
      </c>
      <c r="L83" s="119">
        <f>K83*5000</f>
        <v>5000</v>
      </c>
      <c r="M83" s="54"/>
      <c r="N83" s="54"/>
      <c r="O83" s="47">
        <v>2</v>
      </c>
      <c r="P83" s="119">
        <f>O83*5000</f>
        <v>10000</v>
      </c>
      <c r="Q83" s="54"/>
      <c r="R83" s="180"/>
    </row>
    <row r="84" spans="1:18" s="141" customFormat="1" ht="15" customHeight="1" x14ac:dyDescent="0.25">
      <c r="A84" s="25"/>
      <c r="B84" s="205" t="s">
        <v>96</v>
      </c>
      <c r="C84" s="64">
        <f t="shared" ref="C84:F89" si="24">G84+K84+O84</f>
        <v>4</v>
      </c>
      <c r="D84" s="64">
        <f t="shared" si="24"/>
        <v>20000</v>
      </c>
      <c r="E84" s="64">
        <f t="shared" si="24"/>
        <v>0</v>
      </c>
      <c r="F84" s="64">
        <f t="shared" si="24"/>
        <v>0</v>
      </c>
      <c r="G84" s="54">
        <v>2</v>
      </c>
      <c r="H84" s="119">
        <f>G84*5000</f>
        <v>10000</v>
      </c>
      <c r="I84" s="54"/>
      <c r="J84" s="54"/>
      <c r="K84" s="54">
        <v>2</v>
      </c>
      <c r="L84" s="119">
        <f>K84*5000</f>
        <v>10000</v>
      </c>
      <c r="M84" s="54"/>
      <c r="N84" s="54"/>
      <c r="O84" s="47">
        <v>0</v>
      </c>
      <c r="P84" s="119">
        <f>O84*5000</f>
        <v>0</v>
      </c>
      <c r="Q84" s="54"/>
      <c r="R84" s="180"/>
    </row>
    <row r="85" spans="1:18" s="141" customFormat="1" ht="15" customHeight="1" x14ac:dyDescent="0.25">
      <c r="A85" s="25"/>
      <c r="B85" s="205" t="s">
        <v>97</v>
      </c>
      <c r="C85" s="64">
        <f t="shared" si="24"/>
        <v>6</v>
      </c>
      <c r="D85" s="64">
        <f t="shared" si="24"/>
        <v>42000</v>
      </c>
      <c r="E85" s="64">
        <f t="shared" si="24"/>
        <v>0</v>
      </c>
      <c r="F85" s="64">
        <f t="shared" si="24"/>
        <v>0</v>
      </c>
      <c r="G85" s="54">
        <v>2</v>
      </c>
      <c r="H85" s="119">
        <f>G85*7000</f>
        <v>14000</v>
      </c>
      <c r="I85" s="54"/>
      <c r="J85" s="54"/>
      <c r="K85" s="47">
        <v>0</v>
      </c>
      <c r="L85" s="119">
        <f>K85*7000</f>
        <v>0</v>
      </c>
      <c r="M85" s="54"/>
      <c r="N85" s="54"/>
      <c r="O85" s="47">
        <v>4</v>
      </c>
      <c r="P85" s="119">
        <f>O85*7000</f>
        <v>28000</v>
      </c>
      <c r="Q85" s="54"/>
      <c r="R85" s="180"/>
    </row>
    <row r="86" spans="1:18" s="141" customFormat="1" ht="15" customHeight="1" x14ac:dyDescent="0.25">
      <c r="A86" s="25"/>
      <c r="B86" s="205" t="s">
        <v>98</v>
      </c>
      <c r="C86" s="64">
        <f t="shared" si="24"/>
        <v>3</v>
      </c>
      <c r="D86" s="64">
        <f t="shared" si="24"/>
        <v>24000</v>
      </c>
      <c r="E86" s="64">
        <f t="shared" si="24"/>
        <v>0</v>
      </c>
      <c r="F86" s="64">
        <f t="shared" si="24"/>
        <v>0</v>
      </c>
      <c r="G86" s="54">
        <v>3</v>
      </c>
      <c r="H86" s="119">
        <f>G86*8000</f>
        <v>24000</v>
      </c>
      <c r="I86" s="54"/>
      <c r="J86" s="54"/>
      <c r="K86" s="47">
        <v>0</v>
      </c>
      <c r="L86" s="119">
        <f>K86*8000</f>
        <v>0</v>
      </c>
      <c r="M86" s="54"/>
      <c r="N86" s="54"/>
      <c r="O86" s="47">
        <v>0</v>
      </c>
      <c r="P86" s="119">
        <f>O86*8000</f>
        <v>0</v>
      </c>
      <c r="Q86" s="54"/>
      <c r="R86" s="180"/>
    </row>
    <row r="87" spans="1:18" s="38" customFormat="1" ht="15" x14ac:dyDescent="0.25">
      <c r="A87" s="25"/>
      <c r="B87" s="205" t="s">
        <v>99</v>
      </c>
      <c r="C87" s="64">
        <f t="shared" si="24"/>
        <v>7</v>
      </c>
      <c r="D87" s="64">
        <f t="shared" si="24"/>
        <v>56000</v>
      </c>
      <c r="E87" s="64">
        <f t="shared" si="24"/>
        <v>0</v>
      </c>
      <c r="F87" s="64">
        <f t="shared" si="24"/>
        <v>0</v>
      </c>
      <c r="G87" s="54">
        <v>3</v>
      </c>
      <c r="H87" s="119">
        <f>G87*8000</f>
        <v>24000</v>
      </c>
      <c r="I87" s="54"/>
      <c r="J87" s="54"/>
      <c r="K87" s="47">
        <v>0</v>
      </c>
      <c r="L87" s="119">
        <f>K87*8000</f>
        <v>0</v>
      </c>
      <c r="M87" s="54"/>
      <c r="N87" s="54"/>
      <c r="O87" s="47">
        <v>4</v>
      </c>
      <c r="P87" s="119">
        <f>O87*8000</f>
        <v>32000</v>
      </c>
      <c r="Q87" s="54"/>
      <c r="R87" s="180"/>
    </row>
    <row r="88" spans="1:18" s="141" customFormat="1" ht="15" customHeight="1" x14ac:dyDescent="0.25">
      <c r="A88" s="25"/>
      <c r="B88" s="205" t="s">
        <v>100</v>
      </c>
      <c r="C88" s="64">
        <f t="shared" si="24"/>
        <v>3</v>
      </c>
      <c r="D88" s="64">
        <f t="shared" si="24"/>
        <v>75000</v>
      </c>
      <c r="E88" s="64">
        <f t="shared" si="24"/>
        <v>0</v>
      </c>
      <c r="F88" s="64">
        <f t="shared" si="24"/>
        <v>0</v>
      </c>
      <c r="G88" s="54">
        <v>2</v>
      </c>
      <c r="H88" s="119">
        <f>G88*25000</f>
        <v>50000</v>
      </c>
      <c r="I88" s="54"/>
      <c r="J88" s="54"/>
      <c r="K88" s="47">
        <v>0</v>
      </c>
      <c r="L88" s="119">
        <f>K88*25000</f>
        <v>0</v>
      </c>
      <c r="M88" s="54"/>
      <c r="N88" s="54"/>
      <c r="O88" s="47">
        <v>1</v>
      </c>
      <c r="P88" s="119">
        <f>O88*25000</f>
        <v>25000</v>
      </c>
      <c r="Q88" s="54"/>
      <c r="R88" s="180"/>
    </row>
    <row r="89" spans="1:18" s="141" customFormat="1" ht="15" customHeight="1" x14ac:dyDescent="0.2">
      <c r="A89" s="25"/>
      <c r="B89" s="205" t="s">
        <v>101</v>
      </c>
      <c r="C89" s="64">
        <f t="shared" si="24"/>
        <v>16</v>
      </c>
      <c r="D89" s="64">
        <f t="shared" si="24"/>
        <v>24000</v>
      </c>
      <c r="E89" s="64">
        <f t="shared" si="24"/>
        <v>0</v>
      </c>
      <c r="F89" s="64">
        <f t="shared" si="24"/>
        <v>0</v>
      </c>
      <c r="G89" s="54">
        <v>10</v>
      </c>
      <c r="H89" s="119">
        <f>G89*1500</f>
        <v>15000</v>
      </c>
      <c r="I89" s="54"/>
      <c r="J89" s="54"/>
      <c r="K89" s="54">
        <v>2</v>
      </c>
      <c r="L89" s="119">
        <f>K89*1500</f>
        <v>3000</v>
      </c>
      <c r="M89" s="54"/>
      <c r="N89" s="54"/>
      <c r="O89" s="54">
        <v>4</v>
      </c>
      <c r="P89" s="119">
        <f>O89*1500</f>
        <v>6000</v>
      </c>
      <c r="Q89" s="54"/>
      <c r="R89" s="180"/>
    </row>
    <row r="90" spans="1:18" s="38" customFormat="1" ht="15" x14ac:dyDescent="0.25">
      <c r="A90" s="25"/>
      <c r="B90" s="205" t="s">
        <v>102</v>
      </c>
      <c r="C90" s="64">
        <f t="shared" si="23"/>
        <v>11</v>
      </c>
      <c r="D90" s="64">
        <f t="shared" si="23"/>
        <v>385000</v>
      </c>
      <c r="E90" s="64">
        <f t="shared" si="23"/>
        <v>0</v>
      </c>
      <c r="F90" s="64">
        <f t="shared" si="23"/>
        <v>0</v>
      </c>
      <c r="G90" s="49">
        <v>5</v>
      </c>
      <c r="H90" s="119">
        <f>G90*35000</f>
        <v>175000</v>
      </c>
      <c r="I90" s="54"/>
      <c r="J90" s="54"/>
      <c r="K90" s="47">
        <v>2</v>
      </c>
      <c r="L90" s="119">
        <f>K90*35000</f>
        <v>70000</v>
      </c>
      <c r="M90" s="54"/>
      <c r="N90" s="54"/>
      <c r="O90" s="47">
        <v>4</v>
      </c>
      <c r="P90" s="119">
        <f>O90*35000</f>
        <v>140000</v>
      </c>
      <c r="Q90" s="54"/>
      <c r="R90" s="180"/>
    </row>
    <row r="91" spans="1:18" s="141" customFormat="1" ht="15" customHeight="1" thickBot="1" x14ac:dyDescent="0.25">
      <c r="A91" s="181"/>
      <c r="B91" s="182" t="s">
        <v>103</v>
      </c>
      <c r="C91" s="239">
        <f t="shared" si="23"/>
        <v>0</v>
      </c>
      <c r="D91" s="239">
        <f t="shared" si="23"/>
        <v>0</v>
      </c>
      <c r="E91" s="239">
        <f t="shared" si="23"/>
        <v>0</v>
      </c>
      <c r="F91" s="239">
        <f t="shared" si="23"/>
        <v>0</v>
      </c>
      <c r="G91" s="200"/>
      <c r="H91" s="184"/>
      <c r="I91" s="200"/>
      <c r="J91" s="200"/>
      <c r="K91" s="200"/>
      <c r="L91" s="184"/>
      <c r="M91" s="200"/>
      <c r="N91" s="200"/>
      <c r="O91" s="200"/>
      <c r="P91" s="184"/>
      <c r="Q91" s="200"/>
      <c r="R91" s="186"/>
    </row>
    <row r="92" spans="1:18" ht="13.5" thickBot="1" x14ac:dyDescent="0.25">
      <c r="A92" s="232"/>
      <c r="B92" s="233" t="s">
        <v>159</v>
      </c>
      <c r="C92" s="234">
        <f t="shared" ref="C92:R92" si="25">SUM(C79:C91)</f>
        <v>64</v>
      </c>
      <c r="D92" s="234">
        <f t="shared" si="25"/>
        <v>4041000</v>
      </c>
      <c r="E92" s="234">
        <f t="shared" si="25"/>
        <v>0</v>
      </c>
      <c r="F92" s="234">
        <f t="shared" si="25"/>
        <v>0</v>
      </c>
      <c r="G92" s="234">
        <f t="shared" si="25"/>
        <v>33</v>
      </c>
      <c r="H92" s="234">
        <f t="shared" si="25"/>
        <v>1582000</v>
      </c>
      <c r="I92" s="234">
        <f t="shared" si="25"/>
        <v>0</v>
      </c>
      <c r="J92" s="234">
        <f t="shared" si="25"/>
        <v>0</v>
      </c>
      <c r="K92" s="234">
        <f t="shared" si="25"/>
        <v>11</v>
      </c>
      <c r="L92" s="234">
        <f t="shared" si="25"/>
        <v>1233000</v>
      </c>
      <c r="M92" s="234">
        <f t="shared" si="25"/>
        <v>0</v>
      </c>
      <c r="N92" s="234">
        <f t="shared" si="25"/>
        <v>0</v>
      </c>
      <c r="O92" s="234">
        <f t="shared" si="25"/>
        <v>21</v>
      </c>
      <c r="P92" s="234">
        <f t="shared" si="25"/>
        <v>1241000</v>
      </c>
      <c r="Q92" s="234">
        <f t="shared" si="25"/>
        <v>0</v>
      </c>
      <c r="R92" s="234">
        <f t="shared" si="25"/>
        <v>0</v>
      </c>
    </row>
    <row r="93" spans="1:18" s="38" customFormat="1" x14ac:dyDescent="0.2">
      <c r="A93" s="210" t="s">
        <v>10</v>
      </c>
      <c r="B93" s="211" t="s">
        <v>104</v>
      </c>
      <c r="C93" s="213"/>
      <c r="D93" s="213"/>
      <c r="E93" s="213"/>
      <c r="F93" s="213"/>
      <c r="G93" s="177"/>
      <c r="H93" s="178"/>
      <c r="I93" s="177"/>
      <c r="J93" s="177"/>
      <c r="K93" s="177"/>
      <c r="L93" s="178"/>
      <c r="M93" s="177"/>
      <c r="N93" s="177"/>
      <c r="O93" s="177"/>
      <c r="P93" s="178"/>
      <c r="Q93" s="177"/>
      <c r="R93" s="179"/>
    </row>
    <row r="94" spans="1:18" s="141" customFormat="1" ht="15" x14ac:dyDescent="0.25">
      <c r="A94" s="143"/>
      <c r="B94" s="205" t="s">
        <v>105</v>
      </c>
      <c r="C94" s="64">
        <f t="shared" ref="C94:F132" si="26">G94+K94+O94</f>
        <v>0</v>
      </c>
      <c r="D94" s="64">
        <f t="shared" si="26"/>
        <v>0</v>
      </c>
      <c r="E94" s="64">
        <f t="shared" si="26"/>
        <v>0</v>
      </c>
      <c r="F94" s="64">
        <f t="shared" si="26"/>
        <v>0</v>
      </c>
      <c r="G94" s="49"/>
      <c r="H94" s="119"/>
      <c r="I94" s="54"/>
      <c r="J94" s="54"/>
      <c r="K94" s="47"/>
      <c r="L94" s="47"/>
      <c r="M94" s="54"/>
      <c r="N94" s="54"/>
      <c r="O94" s="47"/>
      <c r="P94" s="47"/>
      <c r="Q94" s="54"/>
      <c r="R94" s="180"/>
    </row>
    <row r="95" spans="1:18" s="38" customFormat="1" ht="15" x14ac:dyDescent="0.25">
      <c r="A95" s="25"/>
      <c r="B95" s="48" t="s">
        <v>106</v>
      </c>
      <c r="C95" s="64">
        <f t="shared" ref="C95" si="27">G95+K95+O95</f>
        <v>0</v>
      </c>
      <c r="D95" s="64">
        <f t="shared" si="26"/>
        <v>0</v>
      </c>
      <c r="E95" s="64">
        <f t="shared" si="26"/>
        <v>0</v>
      </c>
      <c r="F95" s="64">
        <f t="shared" si="26"/>
        <v>0</v>
      </c>
      <c r="G95" s="49"/>
      <c r="H95" s="119"/>
      <c r="I95" s="54"/>
      <c r="J95" s="54"/>
      <c r="K95" s="47"/>
      <c r="L95" s="47"/>
      <c r="M95" s="54"/>
      <c r="N95" s="54"/>
      <c r="O95" s="54"/>
      <c r="P95" s="119"/>
      <c r="Q95" s="54"/>
      <c r="R95" s="180"/>
    </row>
    <row r="96" spans="1:18" s="38" customFormat="1" x14ac:dyDescent="0.2">
      <c r="A96" s="25"/>
      <c r="B96" s="48" t="s">
        <v>107</v>
      </c>
      <c r="C96" s="64">
        <f t="shared" si="26"/>
        <v>0</v>
      </c>
      <c r="D96" s="64">
        <f t="shared" si="26"/>
        <v>0</v>
      </c>
      <c r="E96" s="64">
        <f t="shared" si="26"/>
        <v>0</v>
      </c>
      <c r="F96" s="64">
        <f t="shared" si="26"/>
        <v>0</v>
      </c>
      <c r="G96" s="54"/>
      <c r="H96" s="119"/>
      <c r="I96" s="54"/>
      <c r="J96" s="54"/>
      <c r="K96" s="54"/>
      <c r="L96" s="119"/>
      <c r="M96" s="54"/>
      <c r="N96" s="54"/>
      <c r="O96" s="54"/>
      <c r="P96" s="119"/>
      <c r="Q96" s="54"/>
      <c r="R96" s="180"/>
    </row>
    <row r="97" spans="1:18" s="38" customFormat="1" ht="15" x14ac:dyDescent="0.25">
      <c r="A97" s="25"/>
      <c r="B97" s="208" t="s">
        <v>109</v>
      </c>
      <c r="C97" s="64">
        <f t="shared" si="26"/>
        <v>0</v>
      </c>
      <c r="D97" s="64">
        <f t="shared" si="26"/>
        <v>0</v>
      </c>
      <c r="E97" s="64">
        <f t="shared" si="26"/>
        <v>0</v>
      </c>
      <c r="F97" s="64">
        <f t="shared" si="26"/>
        <v>0</v>
      </c>
      <c r="G97" s="49"/>
      <c r="H97" s="119"/>
      <c r="I97" s="54"/>
      <c r="J97" s="54"/>
      <c r="K97" s="47"/>
      <c r="L97" s="47"/>
      <c r="M97" s="54"/>
      <c r="N97" s="54"/>
      <c r="O97" s="47"/>
      <c r="P97" s="47"/>
      <c r="Q97" s="54"/>
      <c r="R97" s="180"/>
    </row>
    <row r="98" spans="1:18" s="38" customFormat="1" ht="15" x14ac:dyDescent="0.25">
      <c r="A98" s="25"/>
      <c r="B98" s="208" t="s">
        <v>111</v>
      </c>
      <c r="C98" s="64">
        <f t="shared" si="26"/>
        <v>0</v>
      </c>
      <c r="D98" s="64">
        <f t="shared" si="26"/>
        <v>0</v>
      </c>
      <c r="E98" s="64">
        <f t="shared" si="26"/>
        <v>0</v>
      </c>
      <c r="F98" s="64">
        <f t="shared" si="26"/>
        <v>0</v>
      </c>
      <c r="G98" s="49"/>
      <c r="H98" s="119"/>
      <c r="I98" s="54"/>
      <c r="J98" s="54"/>
      <c r="K98" s="47"/>
      <c r="L98" s="47"/>
      <c r="M98" s="54"/>
      <c r="N98" s="54"/>
      <c r="O98" s="47"/>
      <c r="P98" s="47"/>
      <c r="Q98" s="54"/>
      <c r="R98" s="180"/>
    </row>
    <row r="99" spans="1:18" s="38" customFormat="1" ht="15" x14ac:dyDescent="0.25">
      <c r="A99" s="25"/>
      <c r="B99" s="208" t="s">
        <v>113</v>
      </c>
      <c r="C99" s="64">
        <f t="shared" si="26"/>
        <v>0</v>
      </c>
      <c r="D99" s="64">
        <f t="shared" si="26"/>
        <v>0</v>
      </c>
      <c r="E99" s="64">
        <f t="shared" si="26"/>
        <v>0</v>
      </c>
      <c r="F99" s="64">
        <f t="shared" si="26"/>
        <v>0</v>
      </c>
      <c r="G99" s="47"/>
      <c r="H99" s="119"/>
      <c r="I99" s="54"/>
      <c r="J99" s="54"/>
      <c r="K99" s="54"/>
      <c r="L99" s="119"/>
      <c r="M99" s="54"/>
      <c r="N99" s="54"/>
      <c r="O99" s="54"/>
      <c r="P99" s="119"/>
      <c r="Q99" s="54"/>
      <c r="R99" s="180"/>
    </row>
    <row r="100" spans="1:18" s="38" customFormat="1" ht="14.25" x14ac:dyDescent="0.2">
      <c r="A100" s="25"/>
      <c r="B100" s="208" t="s">
        <v>115</v>
      </c>
      <c r="C100" s="64">
        <f t="shared" si="26"/>
        <v>0</v>
      </c>
      <c r="D100" s="64">
        <f t="shared" si="26"/>
        <v>0</v>
      </c>
      <c r="E100" s="64">
        <f t="shared" si="26"/>
        <v>0</v>
      </c>
      <c r="F100" s="64">
        <f t="shared" si="26"/>
        <v>0</v>
      </c>
      <c r="G100" s="49"/>
      <c r="H100" s="119"/>
      <c r="I100" s="54"/>
      <c r="J100" s="54"/>
      <c r="K100" s="54"/>
      <c r="L100" s="119"/>
      <c r="M100" s="54"/>
      <c r="N100" s="54"/>
      <c r="O100" s="54"/>
      <c r="P100" s="119"/>
      <c r="Q100" s="54"/>
      <c r="R100" s="180"/>
    </row>
    <row r="101" spans="1:18" s="38" customFormat="1" ht="14.25" x14ac:dyDescent="0.2">
      <c r="A101" s="25"/>
      <c r="B101" s="208" t="s">
        <v>279</v>
      </c>
      <c r="C101" s="64"/>
      <c r="D101" s="64"/>
      <c r="E101" s="64"/>
      <c r="F101" s="64"/>
      <c r="G101" s="49"/>
      <c r="H101" s="119"/>
      <c r="I101" s="54"/>
      <c r="J101" s="54"/>
      <c r="K101" s="54"/>
      <c r="L101" s="119"/>
      <c r="M101" s="54"/>
      <c r="N101" s="54"/>
      <c r="O101" s="54"/>
      <c r="P101" s="119"/>
      <c r="Q101" s="54"/>
      <c r="R101" s="180"/>
    </row>
    <row r="102" spans="1:18" s="38" customFormat="1" ht="15" x14ac:dyDescent="0.25">
      <c r="A102" s="25"/>
      <c r="B102" s="205" t="s">
        <v>116</v>
      </c>
      <c r="C102" s="64">
        <f t="shared" si="26"/>
        <v>0</v>
      </c>
      <c r="D102" s="64">
        <f t="shared" si="26"/>
        <v>0</v>
      </c>
      <c r="E102" s="64">
        <f t="shared" si="26"/>
        <v>0</v>
      </c>
      <c r="F102" s="64">
        <f t="shared" si="26"/>
        <v>0</v>
      </c>
      <c r="G102" s="145"/>
      <c r="H102" s="119"/>
      <c r="I102" s="54"/>
      <c r="J102" s="54"/>
      <c r="K102" s="47"/>
      <c r="L102" s="47"/>
      <c r="M102" s="54"/>
      <c r="N102" s="54"/>
      <c r="O102" s="47"/>
      <c r="P102" s="47"/>
      <c r="Q102" s="54"/>
      <c r="R102" s="180"/>
    </row>
    <row r="103" spans="1:18" s="141" customFormat="1" ht="14.25" x14ac:dyDescent="0.2">
      <c r="A103" s="25"/>
      <c r="B103" s="208" t="s">
        <v>117</v>
      </c>
      <c r="C103" s="64">
        <f t="shared" si="26"/>
        <v>0</v>
      </c>
      <c r="D103" s="64">
        <f t="shared" si="26"/>
        <v>0</v>
      </c>
      <c r="E103" s="64">
        <f t="shared" si="26"/>
        <v>0</v>
      </c>
      <c r="F103" s="64">
        <f t="shared" si="26"/>
        <v>0</v>
      </c>
      <c r="G103" s="49"/>
      <c r="H103" s="119"/>
      <c r="I103" s="54"/>
      <c r="J103" s="54"/>
      <c r="K103" s="54"/>
      <c r="L103" s="119"/>
      <c r="M103" s="54"/>
      <c r="N103" s="54"/>
      <c r="O103" s="54"/>
      <c r="P103" s="119"/>
      <c r="Q103" s="54"/>
      <c r="R103" s="180"/>
    </row>
    <row r="104" spans="1:18" s="38" customFormat="1" x14ac:dyDescent="0.2">
      <c r="A104" s="25"/>
      <c r="B104" s="48" t="s">
        <v>118</v>
      </c>
      <c r="C104" s="64">
        <f t="shared" si="26"/>
        <v>0</v>
      </c>
      <c r="D104" s="64">
        <f t="shared" si="26"/>
        <v>0</v>
      </c>
      <c r="E104" s="64">
        <f t="shared" si="26"/>
        <v>0</v>
      </c>
      <c r="F104" s="64">
        <f t="shared" si="26"/>
        <v>0</v>
      </c>
      <c r="G104" s="54"/>
      <c r="H104" s="119"/>
      <c r="I104" s="54"/>
      <c r="J104" s="54"/>
      <c r="K104" s="54"/>
      <c r="L104" s="119"/>
      <c r="M104" s="54"/>
      <c r="N104" s="54"/>
      <c r="O104" s="54"/>
      <c r="P104" s="119"/>
      <c r="Q104" s="54"/>
      <c r="R104" s="180"/>
    </row>
    <row r="105" spans="1:18" s="141" customFormat="1" x14ac:dyDescent="0.2">
      <c r="A105" s="143"/>
      <c r="B105" s="205" t="s">
        <v>119</v>
      </c>
      <c r="C105" s="64">
        <f t="shared" si="26"/>
        <v>0</v>
      </c>
      <c r="D105" s="64">
        <f t="shared" si="26"/>
        <v>0</v>
      </c>
      <c r="E105" s="64">
        <f t="shared" si="26"/>
        <v>0</v>
      </c>
      <c r="F105" s="64">
        <f t="shared" si="26"/>
        <v>0</v>
      </c>
      <c r="G105" s="54"/>
      <c r="H105" s="119"/>
      <c r="I105" s="54"/>
      <c r="J105" s="54"/>
      <c r="K105" s="54"/>
      <c r="L105" s="119"/>
      <c r="M105" s="54"/>
      <c r="N105" s="54"/>
      <c r="O105" s="54"/>
      <c r="P105" s="119"/>
      <c r="Q105" s="54"/>
      <c r="R105" s="180"/>
    </row>
    <row r="106" spans="1:18" s="141" customFormat="1" x14ac:dyDescent="0.2">
      <c r="A106" s="143"/>
      <c r="B106" s="48" t="s">
        <v>120</v>
      </c>
      <c r="C106" s="64">
        <f t="shared" si="26"/>
        <v>0</v>
      </c>
      <c r="D106" s="64">
        <f t="shared" si="26"/>
        <v>0</v>
      </c>
      <c r="E106" s="64">
        <f t="shared" si="26"/>
        <v>0</v>
      </c>
      <c r="F106" s="64">
        <f t="shared" si="26"/>
        <v>0</v>
      </c>
      <c r="G106" s="54"/>
      <c r="H106" s="119"/>
      <c r="I106" s="54"/>
      <c r="J106" s="54"/>
      <c r="K106" s="54"/>
      <c r="L106" s="119"/>
      <c r="M106" s="54"/>
      <c r="N106" s="54"/>
      <c r="O106" s="54"/>
      <c r="P106" s="119"/>
      <c r="Q106" s="54"/>
      <c r="R106" s="180"/>
    </row>
    <row r="107" spans="1:18" s="38" customFormat="1" ht="25.5" x14ac:dyDescent="0.2">
      <c r="A107" s="25"/>
      <c r="B107" s="320" t="s">
        <v>122</v>
      </c>
      <c r="C107" s="64">
        <f t="shared" si="26"/>
        <v>0</v>
      </c>
      <c r="D107" s="64">
        <f t="shared" si="26"/>
        <v>0</v>
      </c>
      <c r="E107" s="64">
        <f t="shared" si="26"/>
        <v>0</v>
      </c>
      <c r="F107" s="64">
        <f t="shared" si="26"/>
        <v>0</v>
      </c>
      <c r="G107" s="54"/>
      <c r="H107" s="119"/>
      <c r="I107" s="54"/>
      <c r="J107" s="54"/>
      <c r="K107" s="54"/>
      <c r="L107" s="119"/>
      <c r="M107" s="54"/>
      <c r="N107" s="54"/>
      <c r="O107" s="54"/>
      <c r="P107" s="119"/>
      <c r="Q107" s="54"/>
      <c r="R107" s="180"/>
    </row>
    <row r="108" spans="1:18" s="38" customFormat="1" ht="25.5" x14ac:dyDescent="0.2">
      <c r="A108" s="25"/>
      <c r="B108" s="209" t="s">
        <v>124</v>
      </c>
      <c r="C108" s="64">
        <f t="shared" si="26"/>
        <v>0</v>
      </c>
      <c r="D108" s="64">
        <f t="shared" si="26"/>
        <v>0</v>
      </c>
      <c r="E108" s="64">
        <f t="shared" si="26"/>
        <v>0</v>
      </c>
      <c r="F108" s="64">
        <f t="shared" si="26"/>
        <v>0</v>
      </c>
      <c r="G108" s="54"/>
      <c r="H108" s="119"/>
      <c r="I108" s="54"/>
      <c r="J108" s="54"/>
      <c r="K108" s="54"/>
      <c r="L108" s="119"/>
      <c r="M108" s="54"/>
      <c r="N108" s="54"/>
      <c r="O108" s="54"/>
      <c r="P108" s="119"/>
      <c r="Q108" s="54"/>
      <c r="R108" s="180"/>
    </row>
    <row r="109" spans="1:18" s="38" customFormat="1" ht="25.5" x14ac:dyDescent="0.2">
      <c r="A109" s="25"/>
      <c r="B109" s="320" t="s">
        <v>126</v>
      </c>
      <c r="C109" s="64">
        <f t="shared" si="26"/>
        <v>0</v>
      </c>
      <c r="D109" s="64">
        <f t="shared" si="26"/>
        <v>0</v>
      </c>
      <c r="E109" s="64">
        <f t="shared" si="26"/>
        <v>0</v>
      </c>
      <c r="F109" s="64">
        <f t="shared" si="26"/>
        <v>0</v>
      </c>
      <c r="G109" s="54"/>
      <c r="H109" s="119"/>
      <c r="I109" s="54"/>
      <c r="J109" s="54"/>
      <c r="K109" s="54"/>
      <c r="L109" s="119"/>
      <c r="M109" s="54"/>
      <c r="N109" s="54"/>
      <c r="O109" s="54"/>
      <c r="P109" s="119"/>
      <c r="Q109" s="54"/>
      <c r="R109" s="180"/>
    </row>
    <row r="110" spans="1:18" s="38" customFormat="1" ht="25.5" x14ac:dyDescent="0.2">
      <c r="A110" s="25"/>
      <c r="B110" s="320" t="s">
        <v>128</v>
      </c>
      <c r="C110" s="64">
        <f>G110+K110+O110</f>
        <v>0</v>
      </c>
      <c r="D110" s="64">
        <f>H110+L110+P110</f>
        <v>0</v>
      </c>
      <c r="E110" s="64">
        <f>I110+M110+Q110</f>
        <v>0</v>
      </c>
      <c r="F110" s="64">
        <f>J110+N110+R110</f>
        <v>0</v>
      </c>
      <c r="G110" s="54"/>
      <c r="H110" s="119"/>
      <c r="I110" s="54"/>
      <c r="J110" s="54"/>
      <c r="K110" s="54"/>
      <c r="L110" s="119"/>
      <c r="M110" s="54"/>
      <c r="N110" s="54"/>
      <c r="O110" s="54"/>
      <c r="P110" s="119"/>
      <c r="Q110" s="54"/>
      <c r="R110" s="180"/>
    </row>
    <row r="111" spans="1:18" s="38" customFormat="1" ht="14.25" x14ac:dyDescent="0.2">
      <c r="A111" s="25"/>
      <c r="B111" s="320" t="s">
        <v>130</v>
      </c>
      <c r="C111" s="64">
        <f t="shared" si="26"/>
        <v>0</v>
      </c>
      <c r="D111" s="64">
        <f t="shared" si="26"/>
        <v>0</v>
      </c>
      <c r="E111" s="64">
        <f t="shared" si="26"/>
        <v>0</v>
      </c>
      <c r="F111" s="64">
        <f t="shared" si="26"/>
        <v>0</v>
      </c>
      <c r="G111" s="49"/>
      <c r="H111" s="119"/>
      <c r="I111" s="54"/>
      <c r="J111" s="54"/>
      <c r="K111" s="54"/>
      <c r="L111" s="119"/>
      <c r="M111" s="54"/>
      <c r="N111" s="54"/>
      <c r="O111" s="54"/>
      <c r="P111" s="119"/>
      <c r="Q111" s="54"/>
      <c r="R111" s="180"/>
    </row>
    <row r="112" spans="1:18" s="38" customFormat="1" x14ac:dyDescent="0.2">
      <c r="A112" s="25"/>
      <c r="B112" s="320" t="s">
        <v>280</v>
      </c>
      <c r="C112" s="64">
        <f t="shared" ref="C112:F114" si="28">G112+K112+O112</f>
        <v>0</v>
      </c>
      <c r="D112" s="64">
        <f t="shared" si="28"/>
        <v>0</v>
      </c>
      <c r="E112" s="64">
        <f t="shared" si="28"/>
        <v>0</v>
      </c>
      <c r="F112" s="64">
        <f t="shared" si="28"/>
        <v>0</v>
      </c>
      <c r="G112" s="54"/>
      <c r="H112" s="119"/>
      <c r="I112" s="54"/>
      <c r="J112" s="54"/>
      <c r="K112" s="54"/>
      <c r="L112" s="119"/>
      <c r="M112" s="54"/>
      <c r="N112" s="54"/>
      <c r="O112" s="54"/>
      <c r="P112" s="119"/>
      <c r="Q112" s="54"/>
      <c r="R112" s="180"/>
    </row>
    <row r="113" spans="1:18" s="38" customFormat="1" x14ac:dyDescent="0.2">
      <c r="A113" s="25"/>
      <c r="B113" s="320" t="s">
        <v>133</v>
      </c>
      <c r="C113" s="64">
        <f t="shared" si="28"/>
        <v>0</v>
      </c>
      <c r="D113" s="64">
        <f t="shared" si="28"/>
        <v>0</v>
      </c>
      <c r="E113" s="64">
        <f t="shared" si="28"/>
        <v>0</v>
      </c>
      <c r="F113" s="64">
        <f t="shared" si="28"/>
        <v>0</v>
      </c>
      <c r="G113" s="54"/>
      <c r="H113" s="119"/>
      <c r="I113" s="54"/>
      <c r="J113" s="54"/>
      <c r="K113" s="54"/>
      <c r="L113" s="119"/>
      <c r="M113" s="54"/>
      <c r="N113" s="54"/>
      <c r="O113" s="54"/>
      <c r="P113" s="119"/>
      <c r="Q113" s="54"/>
      <c r="R113" s="180"/>
    </row>
    <row r="114" spans="1:18" s="141" customFormat="1" ht="13.5" customHeight="1" x14ac:dyDescent="0.2">
      <c r="A114" s="25"/>
      <c r="B114" s="208" t="s">
        <v>134</v>
      </c>
      <c r="C114" s="64">
        <f t="shared" si="28"/>
        <v>0</v>
      </c>
      <c r="D114" s="64">
        <f t="shared" si="28"/>
        <v>0</v>
      </c>
      <c r="E114" s="64">
        <f t="shared" si="28"/>
        <v>0</v>
      </c>
      <c r="F114" s="64">
        <f t="shared" si="28"/>
        <v>0</v>
      </c>
      <c r="G114" s="54"/>
      <c r="H114" s="119"/>
      <c r="I114" s="54"/>
      <c r="J114" s="54"/>
      <c r="K114" s="54"/>
      <c r="L114" s="119"/>
      <c r="M114" s="54"/>
      <c r="N114" s="54"/>
      <c r="O114" s="54"/>
      <c r="P114" s="119"/>
      <c r="Q114" s="54"/>
      <c r="R114" s="180"/>
    </row>
    <row r="115" spans="1:18" s="141" customFormat="1" ht="13.5" customHeight="1" x14ac:dyDescent="0.2">
      <c r="A115" s="25"/>
      <c r="B115" s="208" t="s">
        <v>135</v>
      </c>
      <c r="C115" s="64"/>
      <c r="D115" s="64"/>
      <c r="E115" s="64"/>
      <c r="F115" s="64"/>
      <c r="G115" s="54"/>
      <c r="H115" s="119"/>
      <c r="I115" s="54"/>
      <c r="J115" s="54"/>
      <c r="K115" s="54"/>
      <c r="L115" s="119"/>
      <c r="M115" s="54"/>
      <c r="N115" s="54"/>
      <c r="O115" s="54"/>
      <c r="P115" s="119"/>
      <c r="Q115" s="54"/>
      <c r="R115" s="180"/>
    </row>
    <row r="116" spans="1:18" s="141" customFormat="1" ht="25.5" x14ac:dyDescent="0.2">
      <c r="A116" s="25"/>
      <c r="B116" s="208" t="s">
        <v>136</v>
      </c>
      <c r="C116" s="64"/>
      <c r="D116" s="64">
        <f>H116+L116+P116</f>
        <v>0</v>
      </c>
      <c r="E116" s="64">
        <f>I116+M116+Q116</f>
        <v>0</v>
      </c>
      <c r="F116" s="64">
        <f>J116+N116+R116</f>
        <v>0</v>
      </c>
      <c r="G116" s="54"/>
      <c r="H116" s="119"/>
      <c r="I116" s="54"/>
      <c r="J116" s="54"/>
      <c r="K116" s="54"/>
      <c r="L116" s="119"/>
      <c r="M116" s="54"/>
      <c r="N116" s="54"/>
      <c r="O116" s="54"/>
      <c r="P116" s="119"/>
      <c r="Q116" s="54"/>
      <c r="R116" s="180"/>
    </row>
    <row r="117" spans="1:18" s="38" customFormat="1" x14ac:dyDescent="0.2">
      <c r="A117" s="25"/>
      <c r="B117" s="205" t="s">
        <v>137</v>
      </c>
      <c r="C117" s="64">
        <f t="shared" ref="C117:F122" si="29">G117+K117+O117</f>
        <v>0</v>
      </c>
      <c r="D117" s="64">
        <f t="shared" si="29"/>
        <v>0</v>
      </c>
      <c r="E117" s="64">
        <f t="shared" si="29"/>
        <v>0</v>
      </c>
      <c r="F117" s="64">
        <f t="shared" si="29"/>
        <v>0</v>
      </c>
      <c r="G117" s="54"/>
      <c r="H117" s="119"/>
      <c r="I117" s="54"/>
      <c r="J117" s="54"/>
      <c r="K117" s="54"/>
      <c r="L117" s="119"/>
      <c r="M117" s="54"/>
      <c r="N117" s="54"/>
      <c r="O117" s="54"/>
      <c r="P117" s="119"/>
      <c r="Q117" s="54"/>
      <c r="R117" s="180"/>
    </row>
    <row r="118" spans="1:18" s="38" customFormat="1" x14ac:dyDescent="0.2">
      <c r="A118" s="25"/>
      <c r="B118" s="205" t="s">
        <v>138</v>
      </c>
      <c r="C118" s="64">
        <f t="shared" si="29"/>
        <v>0</v>
      </c>
      <c r="D118" s="64">
        <f t="shared" si="29"/>
        <v>0</v>
      </c>
      <c r="E118" s="64">
        <f t="shared" si="29"/>
        <v>0</v>
      </c>
      <c r="F118" s="64">
        <f t="shared" si="29"/>
        <v>0</v>
      </c>
      <c r="G118" s="54"/>
      <c r="H118" s="119"/>
      <c r="I118" s="54"/>
      <c r="J118" s="54"/>
      <c r="K118" s="54"/>
      <c r="L118" s="119"/>
      <c r="M118" s="54"/>
      <c r="N118" s="54"/>
      <c r="O118" s="54"/>
      <c r="P118" s="119"/>
      <c r="Q118" s="54"/>
      <c r="R118" s="180"/>
    </row>
    <row r="119" spans="1:18" s="38" customFormat="1" x14ac:dyDescent="0.2">
      <c r="A119" s="25"/>
      <c r="B119" s="48" t="s">
        <v>139</v>
      </c>
      <c r="C119" s="64">
        <f t="shared" si="29"/>
        <v>0</v>
      </c>
      <c r="D119" s="64">
        <f t="shared" si="29"/>
        <v>0</v>
      </c>
      <c r="E119" s="64">
        <f t="shared" si="29"/>
        <v>0</v>
      </c>
      <c r="F119" s="64">
        <f t="shared" si="29"/>
        <v>0</v>
      </c>
      <c r="G119" s="54"/>
      <c r="H119" s="119"/>
      <c r="I119" s="54"/>
      <c r="J119" s="54"/>
      <c r="K119" s="54"/>
      <c r="L119" s="119"/>
      <c r="M119" s="54"/>
      <c r="N119" s="54"/>
      <c r="O119" s="54"/>
      <c r="P119" s="119"/>
      <c r="Q119" s="54"/>
      <c r="R119" s="180"/>
    </row>
    <row r="120" spans="1:18" s="38" customFormat="1" x14ac:dyDescent="0.2">
      <c r="A120" s="25"/>
      <c r="B120" s="48" t="s">
        <v>140</v>
      </c>
      <c r="C120" s="64">
        <f t="shared" si="29"/>
        <v>0</v>
      </c>
      <c r="D120" s="64">
        <f t="shared" si="29"/>
        <v>0</v>
      </c>
      <c r="E120" s="64">
        <f t="shared" si="29"/>
        <v>0</v>
      </c>
      <c r="F120" s="64">
        <f t="shared" si="29"/>
        <v>0</v>
      </c>
      <c r="G120" s="54"/>
      <c r="H120" s="119"/>
      <c r="I120" s="54"/>
      <c r="J120" s="54"/>
      <c r="K120" s="54"/>
      <c r="L120" s="119"/>
      <c r="M120" s="54"/>
      <c r="N120" s="54"/>
      <c r="O120" s="54"/>
      <c r="P120" s="119"/>
      <c r="Q120" s="54"/>
      <c r="R120" s="180"/>
    </row>
    <row r="121" spans="1:18" s="38" customFormat="1" x14ac:dyDescent="0.2">
      <c r="A121" s="25"/>
      <c r="B121" s="48" t="s">
        <v>141</v>
      </c>
      <c r="C121" s="64">
        <f t="shared" si="29"/>
        <v>0</v>
      </c>
      <c r="D121" s="64">
        <f t="shared" si="29"/>
        <v>0</v>
      </c>
      <c r="E121" s="64">
        <f t="shared" si="29"/>
        <v>0</v>
      </c>
      <c r="F121" s="64">
        <f t="shared" si="29"/>
        <v>0</v>
      </c>
      <c r="G121" s="54"/>
      <c r="H121" s="119"/>
      <c r="I121" s="54"/>
      <c r="J121" s="54"/>
      <c r="K121" s="54"/>
      <c r="L121" s="119"/>
      <c r="M121" s="54"/>
      <c r="N121" s="54"/>
      <c r="O121" s="54"/>
      <c r="P121" s="119"/>
      <c r="Q121" s="54"/>
      <c r="R121" s="180"/>
    </row>
    <row r="122" spans="1:18" s="38" customFormat="1" x14ac:dyDescent="0.2">
      <c r="A122" s="25"/>
      <c r="B122" s="48" t="s">
        <v>142</v>
      </c>
      <c r="C122" s="64">
        <f t="shared" si="29"/>
        <v>0</v>
      </c>
      <c r="D122" s="64">
        <f t="shared" si="29"/>
        <v>0</v>
      </c>
      <c r="E122" s="64">
        <f t="shared" si="29"/>
        <v>0</v>
      </c>
      <c r="F122" s="64">
        <f t="shared" si="29"/>
        <v>0</v>
      </c>
      <c r="G122" s="54"/>
      <c r="H122" s="119"/>
      <c r="I122" s="54"/>
      <c r="J122" s="54"/>
      <c r="K122" s="54"/>
      <c r="L122" s="119"/>
      <c r="M122" s="54"/>
      <c r="N122" s="54"/>
      <c r="O122" s="54"/>
      <c r="P122" s="119"/>
      <c r="Q122" s="54"/>
      <c r="R122" s="180"/>
    </row>
    <row r="123" spans="1:18" s="38" customFormat="1" x14ac:dyDescent="0.2">
      <c r="A123" s="25"/>
      <c r="B123" s="205" t="s">
        <v>143</v>
      </c>
      <c r="C123" s="64">
        <f t="shared" ref="C123:F123" si="30">G123+K123+O123</f>
        <v>0</v>
      </c>
      <c r="D123" s="64">
        <f t="shared" si="30"/>
        <v>0</v>
      </c>
      <c r="E123" s="64">
        <f t="shared" si="30"/>
        <v>0</v>
      </c>
      <c r="F123" s="64">
        <f t="shared" si="30"/>
        <v>0</v>
      </c>
      <c r="G123" s="54"/>
      <c r="H123" s="119"/>
      <c r="I123" s="54"/>
      <c r="J123" s="54"/>
      <c r="K123" s="54"/>
      <c r="L123" s="119"/>
      <c r="M123" s="54"/>
      <c r="N123" s="54"/>
      <c r="O123" s="54"/>
      <c r="P123" s="119"/>
      <c r="Q123" s="54"/>
      <c r="R123" s="180"/>
    </row>
    <row r="124" spans="1:18" s="38" customFormat="1" x14ac:dyDescent="0.2">
      <c r="A124" s="25"/>
      <c r="B124" s="48" t="s">
        <v>144</v>
      </c>
      <c r="C124" s="64">
        <f t="shared" si="26"/>
        <v>0</v>
      </c>
      <c r="D124" s="64">
        <f t="shared" si="26"/>
        <v>0</v>
      </c>
      <c r="E124" s="64">
        <f t="shared" si="26"/>
        <v>0</v>
      </c>
      <c r="F124" s="64">
        <f t="shared" si="26"/>
        <v>0</v>
      </c>
      <c r="G124" s="54"/>
      <c r="H124" s="119"/>
      <c r="I124" s="54"/>
      <c r="J124" s="54"/>
      <c r="K124" s="54"/>
      <c r="L124" s="119"/>
      <c r="M124" s="54"/>
      <c r="N124" s="54"/>
      <c r="O124" s="54"/>
      <c r="P124" s="119"/>
      <c r="Q124" s="54"/>
      <c r="R124" s="180"/>
    </row>
    <row r="125" spans="1:18" s="38" customFormat="1" ht="51" x14ac:dyDescent="0.2">
      <c r="A125" s="25"/>
      <c r="B125" s="205" t="s">
        <v>145</v>
      </c>
      <c r="C125" s="64">
        <f>G125+K125+O125</f>
        <v>0</v>
      </c>
      <c r="D125" s="64">
        <f>H125+L125+P125</f>
        <v>0</v>
      </c>
      <c r="E125" s="64">
        <f>I125+M125+Q125</f>
        <v>0</v>
      </c>
      <c r="F125" s="64">
        <f>J125+N125+R125</f>
        <v>0</v>
      </c>
      <c r="G125" s="54"/>
      <c r="H125" s="119"/>
      <c r="I125" s="54"/>
      <c r="J125" s="54"/>
      <c r="K125" s="54"/>
      <c r="L125" s="119"/>
      <c r="M125" s="54"/>
      <c r="N125" s="54"/>
      <c r="O125" s="54"/>
      <c r="P125" s="119"/>
      <c r="Q125" s="54"/>
      <c r="R125" s="180"/>
    </row>
    <row r="126" spans="1:18" s="38" customFormat="1" x14ac:dyDescent="0.2">
      <c r="A126" s="25"/>
      <c r="B126" s="205" t="s">
        <v>146</v>
      </c>
      <c r="C126" s="64"/>
      <c r="D126" s="64"/>
      <c r="E126" s="64"/>
      <c r="F126" s="64"/>
      <c r="G126" s="54"/>
      <c r="H126" s="119"/>
      <c r="I126" s="54"/>
      <c r="J126" s="54"/>
      <c r="K126" s="54"/>
      <c r="L126" s="119"/>
      <c r="M126" s="54"/>
      <c r="N126" s="54"/>
      <c r="O126" s="54"/>
      <c r="P126" s="119"/>
      <c r="Q126" s="54"/>
      <c r="R126" s="180"/>
    </row>
    <row r="127" spans="1:18" s="38" customFormat="1" x14ac:dyDescent="0.2">
      <c r="A127" s="25"/>
      <c r="B127" s="205" t="s">
        <v>147</v>
      </c>
      <c r="C127" s="64"/>
      <c r="D127" s="64"/>
      <c r="E127" s="64"/>
      <c r="F127" s="64"/>
      <c r="G127" s="54"/>
      <c r="H127" s="119"/>
      <c r="I127" s="54"/>
      <c r="J127" s="54"/>
      <c r="K127" s="54"/>
      <c r="L127" s="119"/>
      <c r="M127" s="54"/>
      <c r="N127" s="54"/>
      <c r="O127" s="54"/>
      <c r="P127" s="119"/>
      <c r="Q127" s="54"/>
      <c r="R127" s="180"/>
    </row>
    <row r="128" spans="1:18" s="38" customFormat="1" x14ac:dyDescent="0.2">
      <c r="A128" s="25"/>
      <c r="B128" s="205" t="s">
        <v>148</v>
      </c>
      <c r="C128" s="64"/>
      <c r="D128" s="64"/>
      <c r="E128" s="64"/>
      <c r="F128" s="64"/>
      <c r="G128" s="54"/>
      <c r="H128" s="119"/>
      <c r="I128" s="54"/>
      <c r="J128" s="54"/>
      <c r="K128" s="54"/>
      <c r="L128" s="119"/>
      <c r="M128" s="54"/>
      <c r="N128" s="54"/>
      <c r="O128" s="54"/>
      <c r="P128" s="119"/>
      <c r="Q128" s="54"/>
      <c r="R128" s="180"/>
    </row>
    <row r="129" spans="1:18" s="53" customFormat="1" ht="27" customHeight="1" x14ac:dyDescent="0.2">
      <c r="A129" s="25"/>
      <c r="B129" s="205" t="s">
        <v>149</v>
      </c>
      <c r="C129" s="64">
        <f t="shared" si="26"/>
        <v>0</v>
      </c>
      <c r="D129" s="64">
        <f t="shared" si="26"/>
        <v>0</v>
      </c>
      <c r="E129" s="64">
        <f t="shared" si="26"/>
        <v>0</v>
      </c>
      <c r="F129" s="64">
        <f t="shared" si="26"/>
        <v>0</v>
      </c>
      <c r="G129" s="54"/>
      <c r="H129" s="119"/>
      <c r="I129" s="54"/>
      <c r="J129" s="54"/>
      <c r="K129" s="54"/>
      <c r="L129" s="119"/>
      <c r="M129" s="54"/>
      <c r="N129" s="54"/>
      <c r="O129" s="54"/>
      <c r="P129" s="119"/>
      <c r="Q129" s="54"/>
      <c r="R129" s="180"/>
    </row>
    <row r="130" spans="1:18" s="38" customFormat="1" x14ac:dyDescent="0.2">
      <c r="A130" s="25"/>
      <c r="B130" s="205" t="s">
        <v>150</v>
      </c>
      <c r="C130" s="64">
        <f t="shared" si="26"/>
        <v>0</v>
      </c>
      <c r="D130" s="64">
        <f t="shared" si="26"/>
        <v>0</v>
      </c>
      <c r="E130" s="64">
        <f t="shared" si="26"/>
        <v>0</v>
      </c>
      <c r="F130" s="64">
        <f t="shared" si="26"/>
        <v>0</v>
      </c>
      <c r="G130" s="54"/>
      <c r="H130" s="119"/>
      <c r="I130" s="54"/>
      <c r="J130" s="54"/>
      <c r="K130" s="54"/>
      <c r="L130" s="119"/>
      <c r="M130" s="54"/>
      <c r="N130" s="54"/>
      <c r="O130" s="54"/>
      <c r="P130" s="119"/>
      <c r="Q130" s="54"/>
      <c r="R130" s="180"/>
    </row>
    <row r="131" spans="1:18" s="38" customFormat="1" x14ac:dyDescent="0.2">
      <c r="A131" s="25"/>
      <c r="B131" s="205" t="s">
        <v>151</v>
      </c>
      <c r="C131" s="64">
        <f t="shared" si="26"/>
        <v>0</v>
      </c>
      <c r="D131" s="64">
        <f t="shared" si="26"/>
        <v>0</v>
      </c>
      <c r="E131" s="64">
        <f t="shared" si="26"/>
        <v>0</v>
      </c>
      <c r="F131" s="64">
        <f t="shared" si="26"/>
        <v>0</v>
      </c>
      <c r="G131" s="54"/>
      <c r="H131" s="119"/>
      <c r="I131" s="54"/>
      <c r="J131" s="54"/>
      <c r="K131" s="54"/>
      <c r="L131" s="119"/>
      <c r="M131" s="54"/>
      <c r="N131" s="54"/>
      <c r="O131" s="54"/>
      <c r="P131" s="119"/>
      <c r="Q131" s="54"/>
      <c r="R131" s="180"/>
    </row>
    <row r="132" spans="1:18" s="38" customFormat="1" ht="13.5" thickBot="1" x14ac:dyDescent="0.25">
      <c r="A132" s="187"/>
      <c r="B132" s="188" t="s">
        <v>152</v>
      </c>
      <c r="C132" s="241">
        <f t="shared" si="26"/>
        <v>6</v>
      </c>
      <c r="D132" s="241">
        <f t="shared" si="26"/>
        <v>240000</v>
      </c>
      <c r="E132" s="241">
        <f t="shared" si="26"/>
        <v>0</v>
      </c>
      <c r="F132" s="241">
        <f t="shared" si="26"/>
        <v>0</v>
      </c>
      <c r="G132" s="202">
        <v>4</v>
      </c>
      <c r="H132" s="189">
        <f>G132*40000</f>
        <v>160000</v>
      </c>
      <c r="I132" s="202"/>
      <c r="J132" s="202"/>
      <c r="K132" s="202">
        <v>1</v>
      </c>
      <c r="L132" s="189">
        <f>K132*40000</f>
        <v>40000</v>
      </c>
      <c r="M132" s="202"/>
      <c r="N132" s="202"/>
      <c r="O132" s="202">
        <v>1</v>
      </c>
      <c r="P132" s="189">
        <f>O132*40000</f>
        <v>40000</v>
      </c>
      <c r="Q132" s="202"/>
      <c r="R132" s="191"/>
    </row>
    <row r="133" spans="1:18" ht="13.5" thickBot="1" x14ac:dyDescent="0.25">
      <c r="A133" s="171"/>
      <c r="B133" s="172" t="s">
        <v>160</v>
      </c>
      <c r="C133" s="173">
        <f t="shared" ref="C133:R133" si="31">SUM(C94:C132)</f>
        <v>6</v>
      </c>
      <c r="D133" s="173">
        <f t="shared" si="31"/>
        <v>240000</v>
      </c>
      <c r="E133" s="173">
        <f t="shared" si="31"/>
        <v>0</v>
      </c>
      <c r="F133" s="173">
        <f t="shared" si="31"/>
        <v>0</v>
      </c>
      <c r="G133" s="173">
        <f t="shared" si="31"/>
        <v>4</v>
      </c>
      <c r="H133" s="173">
        <f t="shared" si="31"/>
        <v>160000</v>
      </c>
      <c r="I133" s="173">
        <f t="shared" si="31"/>
        <v>0</v>
      </c>
      <c r="J133" s="173">
        <f t="shared" si="31"/>
        <v>0</v>
      </c>
      <c r="K133" s="173">
        <f t="shared" si="31"/>
        <v>1</v>
      </c>
      <c r="L133" s="173">
        <f t="shared" si="31"/>
        <v>40000</v>
      </c>
      <c r="M133" s="173">
        <f t="shared" si="31"/>
        <v>0</v>
      </c>
      <c r="N133" s="173">
        <f t="shared" si="31"/>
        <v>0</v>
      </c>
      <c r="O133" s="173">
        <f t="shared" si="31"/>
        <v>1</v>
      </c>
      <c r="P133" s="173">
        <f t="shared" si="31"/>
        <v>40000</v>
      </c>
      <c r="Q133" s="173">
        <f t="shared" si="31"/>
        <v>0</v>
      </c>
      <c r="R133" s="173">
        <f t="shared" si="31"/>
        <v>0</v>
      </c>
    </row>
    <row r="134" spans="1:18" s="38" customFormat="1" x14ac:dyDescent="0.2">
      <c r="A134" s="210" t="s">
        <v>11</v>
      </c>
      <c r="B134" s="211" t="s">
        <v>153</v>
      </c>
      <c r="C134" s="213"/>
      <c r="D134" s="213"/>
      <c r="E134" s="213"/>
      <c r="F134" s="213"/>
      <c r="G134" s="213"/>
      <c r="H134" s="178"/>
      <c r="I134" s="213"/>
      <c r="J134" s="213"/>
      <c r="K134" s="213"/>
      <c r="L134" s="178"/>
      <c r="M134" s="213"/>
      <c r="N134" s="213"/>
      <c r="O134" s="213"/>
      <c r="P134" s="178"/>
      <c r="Q134" s="213"/>
      <c r="R134" s="214"/>
    </row>
    <row r="135" spans="1:18" s="38" customFormat="1" ht="25.5" x14ac:dyDescent="0.25">
      <c r="A135" s="25"/>
      <c r="B135" s="205" t="s">
        <v>163</v>
      </c>
      <c r="C135" s="64">
        <f t="shared" ref="C135:F165" si="32">G135+K135+O135</f>
        <v>1</v>
      </c>
      <c r="D135" s="64">
        <f t="shared" si="32"/>
        <v>1086000</v>
      </c>
      <c r="E135" s="64">
        <f t="shared" si="32"/>
        <v>0</v>
      </c>
      <c r="F135" s="64">
        <f t="shared" si="32"/>
        <v>0</v>
      </c>
      <c r="G135" s="47">
        <v>1</v>
      </c>
      <c r="H135" s="119">
        <f>G135*1086000</f>
        <v>1086000</v>
      </c>
      <c r="I135" s="54"/>
      <c r="J135" s="54"/>
      <c r="K135" s="47"/>
      <c r="L135" s="47"/>
      <c r="M135" s="54"/>
      <c r="N135" s="54"/>
      <c r="O135" s="54"/>
      <c r="P135" s="119"/>
      <c r="Q135" s="54"/>
      <c r="R135" s="180"/>
    </row>
    <row r="136" spans="1:18" s="38" customFormat="1" ht="14.25" x14ac:dyDescent="0.2">
      <c r="A136" s="25"/>
      <c r="B136" s="205" t="s">
        <v>164</v>
      </c>
      <c r="C136" s="64">
        <f t="shared" si="32"/>
        <v>0</v>
      </c>
      <c r="D136" s="64">
        <f t="shared" si="32"/>
        <v>0</v>
      </c>
      <c r="E136" s="64">
        <f t="shared" si="32"/>
        <v>0</v>
      </c>
      <c r="F136" s="64">
        <f t="shared" si="32"/>
        <v>0</v>
      </c>
      <c r="G136" s="49"/>
      <c r="H136" s="119"/>
      <c r="I136" s="54"/>
      <c r="J136" s="54"/>
      <c r="K136" s="54"/>
      <c r="L136" s="119"/>
      <c r="M136" s="54"/>
      <c r="N136" s="54"/>
      <c r="O136" s="54"/>
      <c r="P136" s="119"/>
      <c r="Q136" s="54"/>
      <c r="R136" s="180"/>
    </row>
    <row r="137" spans="1:18" s="38" customFormat="1" ht="14.25" x14ac:dyDescent="0.2">
      <c r="A137" s="25"/>
      <c r="B137" s="205" t="s">
        <v>165</v>
      </c>
      <c r="C137" s="64">
        <f t="shared" si="32"/>
        <v>0</v>
      </c>
      <c r="D137" s="64">
        <f t="shared" si="32"/>
        <v>0</v>
      </c>
      <c r="E137" s="64">
        <f t="shared" si="32"/>
        <v>0</v>
      </c>
      <c r="F137" s="64">
        <f t="shared" si="32"/>
        <v>0</v>
      </c>
      <c r="G137" s="49"/>
      <c r="H137" s="119"/>
      <c r="I137" s="54"/>
      <c r="J137" s="54"/>
      <c r="K137" s="54"/>
      <c r="L137" s="119"/>
      <c r="M137" s="54"/>
      <c r="N137" s="54"/>
      <c r="O137" s="54"/>
      <c r="P137" s="119"/>
      <c r="Q137" s="54"/>
      <c r="R137" s="180"/>
    </row>
    <row r="138" spans="1:18" s="38" customFormat="1" ht="15" x14ac:dyDescent="0.25">
      <c r="A138" s="25"/>
      <c r="B138" s="205" t="s">
        <v>166</v>
      </c>
      <c r="C138" s="64">
        <f t="shared" si="32"/>
        <v>25</v>
      </c>
      <c r="D138" s="64">
        <f t="shared" si="32"/>
        <v>540000</v>
      </c>
      <c r="E138" s="64">
        <f t="shared" si="32"/>
        <v>0</v>
      </c>
      <c r="F138" s="64">
        <f t="shared" si="32"/>
        <v>0</v>
      </c>
      <c r="G138" s="49">
        <v>25</v>
      </c>
      <c r="H138" s="119">
        <f>G138*21600</f>
        <v>540000</v>
      </c>
      <c r="I138" s="54"/>
      <c r="J138" s="54"/>
      <c r="K138" s="47"/>
      <c r="L138" s="47"/>
      <c r="M138" s="54"/>
      <c r="N138" s="54"/>
      <c r="O138" s="54"/>
      <c r="P138" s="119"/>
      <c r="Q138" s="54"/>
      <c r="R138" s="180"/>
    </row>
    <row r="139" spans="1:18" s="38" customFormat="1" ht="25.5" x14ac:dyDescent="0.2">
      <c r="A139" s="25"/>
      <c r="B139" s="205" t="s">
        <v>167</v>
      </c>
      <c r="C139" s="64">
        <f t="shared" si="32"/>
        <v>0</v>
      </c>
      <c r="D139" s="64">
        <f t="shared" si="32"/>
        <v>0</v>
      </c>
      <c r="E139" s="64">
        <f t="shared" si="32"/>
        <v>0</v>
      </c>
      <c r="F139" s="64">
        <f t="shared" si="32"/>
        <v>0</v>
      </c>
      <c r="G139" s="49"/>
      <c r="H139" s="119"/>
      <c r="I139" s="54"/>
      <c r="J139" s="54"/>
      <c r="K139" s="54"/>
      <c r="L139" s="119"/>
      <c r="M139" s="54"/>
      <c r="N139" s="54"/>
      <c r="O139" s="54"/>
      <c r="P139" s="119"/>
      <c r="Q139" s="54"/>
      <c r="R139" s="180"/>
    </row>
    <row r="140" spans="1:18" s="38" customFormat="1" x14ac:dyDescent="0.2">
      <c r="A140" s="25"/>
      <c r="B140" s="40" t="s">
        <v>168</v>
      </c>
      <c r="C140" s="64">
        <f t="shared" si="32"/>
        <v>0</v>
      </c>
      <c r="D140" s="64">
        <f t="shared" si="32"/>
        <v>0</v>
      </c>
      <c r="E140" s="64">
        <f t="shared" si="32"/>
        <v>0</v>
      </c>
      <c r="F140" s="64">
        <f t="shared" si="32"/>
        <v>0</v>
      </c>
      <c r="G140" s="54"/>
      <c r="H140" s="119"/>
      <c r="I140" s="54"/>
      <c r="J140" s="54"/>
      <c r="K140" s="54"/>
      <c r="L140" s="119"/>
      <c r="M140" s="54"/>
      <c r="N140" s="54"/>
      <c r="O140" s="54"/>
      <c r="P140" s="119"/>
      <c r="Q140" s="54"/>
      <c r="R140" s="180"/>
    </row>
    <row r="141" spans="1:18" s="38" customFormat="1" ht="15" x14ac:dyDescent="0.25">
      <c r="A141" s="25"/>
      <c r="B141" s="40" t="s">
        <v>169</v>
      </c>
      <c r="C141" s="64">
        <f t="shared" si="32"/>
        <v>0</v>
      </c>
      <c r="D141" s="64">
        <f t="shared" si="32"/>
        <v>0</v>
      </c>
      <c r="E141" s="64">
        <f t="shared" si="32"/>
        <v>0</v>
      </c>
      <c r="F141" s="64">
        <f t="shared" si="32"/>
        <v>0</v>
      </c>
      <c r="G141" s="47"/>
      <c r="H141" s="119"/>
      <c r="I141" s="54"/>
      <c r="J141" s="54"/>
      <c r="K141" s="47"/>
      <c r="L141" s="47"/>
      <c r="M141" s="54"/>
      <c r="N141" s="54"/>
      <c r="O141" s="54"/>
      <c r="P141" s="119"/>
      <c r="Q141" s="54"/>
      <c r="R141" s="180"/>
    </row>
    <row r="142" spans="1:18" s="38" customFormat="1" x14ac:dyDescent="0.2">
      <c r="A142" s="25"/>
      <c r="B142" s="40" t="s">
        <v>170</v>
      </c>
      <c r="C142" s="64">
        <f t="shared" si="32"/>
        <v>0</v>
      </c>
      <c r="D142" s="64">
        <f t="shared" si="32"/>
        <v>0</v>
      </c>
      <c r="E142" s="64">
        <f t="shared" si="32"/>
        <v>0</v>
      </c>
      <c r="F142" s="64">
        <f t="shared" si="32"/>
        <v>0</v>
      </c>
      <c r="G142" s="54"/>
      <c r="H142" s="119"/>
      <c r="I142" s="54"/>
      <c r="J142" s="54"/>
      <c r="K142" s="54"/>
      <c r="L142" s="119"/>
      <c r="M142" s="54"/>
      <c r="N142" s="54"/>
      <c r="O142" s="54"/>
      <c r="P142" s="119"/>
      <c r="Q142" s="54"/>
      <c r="R142" s="180"/>
    </row>
    <row r="143" spans="1:18" s="38" customFormat="1" x14ac:dyDescent="0.2">
      <c r="A143" s="25"/>
      <c r="B143" s="40" t="s">
        <v>277</v>
      </c>
      <c r="C143" s="64"/>
      <c r="D143" s="64"/>
      <c r="E143" s="64"/>
      <c r="F143" s="64"/>
      <c r="G143" s="54"/>
      <c r="H143" s="119"/>
      <c r="I143" s="54"/>
      <c r="J143" s="54"/>
      <c r="K143" s="54"/>
      <c r="L143" s="119"/>
      <c r="M143" s="54"/>
      <c r="N143" s="54"/>
      <c r="O143" s="54"/>
      <c r="P143" s="119"/>
      <c r="Q143" s="54"/>
      <c r="R143" s="180"/>
    </row>
    <row r="144" spans="1:18" s="38" customFormat="1" x14ac:dyDescent="0.2">
      <c r="A144" s="25"/>
      <c r="B144" s="40" t="s">
        <v>278</v>
      </c>
      <c r="C144" s="64"/>
      <c r="D144" s="64"/>
      <c r="E144" s="64"/>
      <c r="F144" s="64"/>
      <c r="G144" s="54"/>
      <c r="H144" s="119"/>
      <c r="I144" s="54"/>
      <c r="J144" s="54"/>
      <c r="K144" s="54"/>
      <c r="L144" s="119"/>
      <c r="M144" s="54"/>
      <c r="N144" s="54"/>
      <c r="O144" s="54"/>
      <c r="P144" s="119"/>
      <c r="Q144" s="54"/>
      <c r="R144" s="180"/>
    </row>
    <row r="145" spans="1:18" s="38" customFormat="1" x14ac:dyDescent="0.2">
      <c r="A145" s="25"/>
      <c r="B145" s="40" t="s">
        <v>171</v>
      </c>
      <c r="C145" s="64">
        <f t="shared" si="32"/>
        <v>0</v>
      </c>
      <c r="D145" s="64">
        <f t="shared" si="32"/>
        <v>0</v>
      </c>
      <c r="E145" s="64">
        <f t="shared" si="32"/>
        <v>0</v>
      </c>
      <c r="F145" s="64">
        <f t="shared" si="32"/>
        <v>0</v>
      </c>
      <c r="G145" s="54"/>
      <c r="H145" s="119"/>
      <c r="I145" s="54"/>
      <c r="J145" s="54"/>
      <c r="K145" s="54"/>
      <c r="L145" s="119"/>
      <c r="M145" s="54"/>
      <c r="N145" s="54"/>
      <c r="O145" s="54"/>
      <c r="P145" s="119"/>
      <c r="Q145" s="54"/>
      <c r="R145" s="180"/>
    </row>
    <row r="146" spans="1:18" s="38" customFormat="1" ht="15" x14ac:dyDescent="0.25">
      <c r="A146" s="25"/>
      <c r="B146" s="24" t="s">
        <v>172</v>
      </c>
      <c r="C146" s="64">
        <f t="shared" si="32"/>
        <v>1</v>
      </c>
      <c r="D146" s="64">
        <f t="shared" si="32"/>
        <v>10000</v>
      </c>
      <c r="E146" s="64">
        <f t="shared" si="32"/>
        <v>0</v>
      </c>
      <c r="F146" s="64">
        <f t="shared" si="32"/>
        <v>0</v>
      </c>
      <c r="G146" s="49">
        <v>1</v>
      </c>
      <c r="H146" s="119">
        <f>G146*10000</f>
        <v>10000</v>
      </c>
      <c r="I146" s="54"/>
      <c r="J146" s="54"/>
      <c r="K146" s="47"/>
      <c r="L146" s="47"/>
      <c r="M146" s="54"/>
      <c r="N146" s="54"/>
      <c r="O146" s="54"/>
      <c r="P146" s="119"/>
      <c r="Q146" s="54"/>
      <c r="R146" s="180"/>
    </row>
    <row r="147" spans="1:18" s="38" customFormat="1" ht="15" x14ac:dyDescent="0.25">
      <c r="A147" s="25"/>
      <c r="B147" s="40" t="s">
        <v>173</v>
      </c>
      <c r="C147" s="64">
        <f t="shared" si="32"/>
        <v>10</v>
      </c>
      <c r="D147" s="64">
        <f t="shared" si="32"/>
        <v>30000</v>
      </c>
      <c r="E147" s="64">
        <f t="shared" si="32"/>
        <v>0</v>
      </c>
      <c r="F147" s="64">
        <f t="shared" si="32"/>
        <v>0</v>
      </c>
      <c r="G147" s="47">
        <v>10</v>
      </c>
      <c r="H147" s="119">
        <f>G147*3000</f>
        <v>30000</v>
      </c>
      <c r="I147" s="54"/>
      <c r="J147" s="54"/>
      <c r="K147" s="47"/>
      <c r="L147" s="47"/>
      <c r="M147" s="54"/>
      <c r="N147" s="54"/>
      <c r="O147" s="54"/>
      <c r="P147" s="119"/>
      <c r="Q147" s="54"/>
      <c r="R147" s="180"/>
    </row>
    <row r="148" spans="1:18" s="38" customFormat="1" ht="15" x14ac:dyDescent="0.25">
      <c r="A148" s="25"/>
      <c r="B148" s="40" t="s">
        <v>174</v>
      </c>
      <c r="C148" s="64">
        <f t="shared" si="32"/>
        <v>0</v>
      </c>
      <c r="D148" s="64">
        <f t="shared" si="32"/>
        <v>0</v>
      </c>
      <c r="E148" s="64">
        <f t="shared" si="32"/>
        <v>0</v>
      </c>
      <c r="F148" s="64">
        <f t="shared" si="32"/>
        <v>0</v>
      </c>
      <c r="G148" s="49"/>
      <c r="H148" s="119"/>
      <c r="I148" s="54"/>
      <c r="J148" s="54"/>
      <c r="K148" s="47"/>
      <c r="L148" s="47"/>
      <c r="M148" s="54"/>
      <c r="N148" s="54"/>
      <c r="O148" s="54"/>
      <c r="P148" s="119"/>
      <c r="Q148" s="54"/>
      <c r="R148" s="180"/>
    </row>
    <row r="149" spans="1:18" s="38" customFormat="1" ht="15" x14ac:dyDescent="0.25">
      <c r="A149" s="25"/>
      <c r="B149" s="40" t="s">
        <v>175</v>
      </c>
      <c r="C149" s="64">
        <f t="shared" ref="C149:F151" si="33">G149+K149+O149</f>
        <v>0</v>
      </c>
      <c r="D149" s="64">
        <f t="shared" si="33"/>
        <v>0</v>
      </c>
      <c r="E149" s="64">
        <f t="shared" si="33"/>
        <v>0</v>
      </c>
      <c r="F149" s="64">
        <f t="shared" si="33"/>
        <v>0</v>
      </c>
      <c r="G149" s="47"/>
      <c r="H149" s="119"/>
      <c r="I149" s="54"/>
      <c r="J149" s="54"/>
      <c r="K149" s="47"/>
      <c r="L149" s="47"/>
      <c r="M149" s="54"/>
      <c r="N149" s="54"/>
      <c r="O149" s="54"/>
      <c r="P149" s="119"/>
      <c r="Q149" s="54"/>
      <c r="R149" s="180"/>
    </row>
    <row r="150" spans="1:18" s="38" customFormat="1" ht="27.75" customHeight="1" x14ac:dyDescent="0.2">
      <c r="A150" s="25"/>
      <c r="B150" s="40" t="s">
        <v>176</v>
      </c>
      <c r="C150" s="64">
        <f t="shared" si="33"/>
        <v>0</v>
      </c>
      <c r="D150" s="64">
        <f t="shared" si="33"/>
        <v>0</v>
      </c>
      <c r="E150" s="64">
        <f t="shared" si="33"/>
        <v>0</v>
      </c>
      <c r="F150" s="64">
        <f t="shared" si="33"/>
        <v>0</v>
      </c>
      <c r="G150" s="54"/>
      <c r="H150" s="119"/>
      <c r="I150" s="54"/>
      <c r="J150" s="54"/>
      <c r="K150" s="54"/>
      <c r="L150" s="119"/>
      <c r="M150" s="54"/>
      <c r="N150" s="54"/>
      <c r="O150" s="54"/>
      <c r="P150" s="119"/>
      <c r="Q150" s="54"/>
      <c r="R150" s="180"/>
    </row>
    <row r="151" spans="1:18" s="38" customFormat="1" x14ac:dyDescent="0.2">
      <c r="A151" s="25"/>
      <c r="B151" s="321" t="s">
        <v>177</v>
      </c>
      <c r="C151" s="64">
        <f t="shared" si="33"/>
        <v>0</v>
      </c>
      <c r="D151" s="64">
        <f t="shared" si="33"/>
        <v>0</v>
      </c>
      <c r="E151" s="64">
        <f t="shared" si="33"/>
        <v>0</v>
      </c>
      <c r="F151" s="64">
        <f t="shared" si="33"/>
        <v>0</v>
      </c>
      <c r="G151" s="54"/>
      <c r="H151" s="119"/>
      <c r="I151" s="54"/>
      <c r="J151" s="54"/>
      <c r="K151" s="54"/>
      <c r="L151" s="119"/>
      <c r="M151" s="54"/>
      <c r="N151" s="54"/>
      <c r="O151" s="54"/>
      <c r="P151" s="119"/>
      <c r="Q151" s="54"/>
      <c r="R151" s="180"/>
    </row>
    <row r="152" spans="1:18" s="38" customFormat="1" ht="25.5" x14ac:dyDescent="0.2">
      <c r="A152" s="25"/>
      <c r="B152" s="144" t="s">
        <v>178</v>
      </c>
      <c r="C152" s="64"/>
      <c r="D152" s="64"/>
      <c r="E152" s="64"/>
      <c r="F152" s="64"/>
      <c r="G152" s="54"/>
      <c r="H152" s="119"/>
      <c r="I152" s="54"/>
      <c r="J152" s="54"/>
      <c r="K152" s="54"/>
      <c r="L152" s="119"/>
      <c r="M152" s="54"/>
      <c r="N152" s="54"/>
      <c r="O152" s="54"/>
      <c r="P152" s="119"/>
      <c r="Q152" s="54"/>
      <c r="R152" s="180"/>
    </row>
    <row r="153" spans="1:18" s="38" customFormat="1" x14ac:dyDescent="0.2">
      <c r="A153" s="25"/>
      <c r="B153" s="319" t="s">
        <v>179</v>
      </c>
      <c r="C153" s="64">
        <f t="shared" ref="C153:F154" si="34">G153+K153+O153</f>
        <v>0</v>
      </c>
      <c r="D153" s="64">
        <f t="shared" si="34"/>
        <v>0</v>
      </c>
      <c r="E153" s="64">
        <f t="shared" si="34"/>
        <v>0</v>
      </c>
      <c r="F153" s="64">
        <f t="shared" si="34"/>
        <v>0</v>
      </c>
      <c r="G153" s="54"/>
      <c r="H153" s="119"/>
      <c r="I153" s="54"/>
      <c r="J153" s="54"/>
      <c r="K153" s="54"/>
      <c r="L153" s="119"/>
      <c r="M153" s="54"/>
      <c r="N153" s="54"/>
      <c r="O153" s="54"/>
      <c r="P153" s="119"/>
      <c r="Q153" s="54"/>
      <c r="R153" s="180"/>
    </row>
    <row r="154" spans="1:18" s="38" customFormat="1" ht="25.5" x14ac:dyDescent="0.2">
      <c r="A154" s="25"/>
      <c r="B154" s="24" t="s">
        <v>180</v>
      </c>
      <c r="C154" s="64">
        <f t="shared" si="34"/>
        <v>0</v>
      </c>
      <c r="D154" s="64">
        <f t="shared" si="34"/>
        <v>0</v>
      </c>
      <c r="E154" s="64">
        <f t="shared" si="34"/>
        <v>0</v>
      </c>
      <c r="F154" s="64">
        <f t="shared" si="34"/>
        <v>0</v>
      </c>
      <c r="G154" s="54"/>
      <c r="H154" s="119"/>
      <c r="I154" s="54"/>
      <c r="J154" s="54"/>
      <c r="K154" s="54"/>
      <c r="L154" s="119"/>
      <c r="M154" s="54"/>
      <c r="N154" s="54"/>
      <c r="O154" s="54"/>
      <c r="P154" s="119"/>
      <c r="Q154" s="54"/>
      <c r="R154" s="180"/>
    </row>
    <row r="155" spans="1:18" s="38" customFormat="1" x14ac:dyDescent="0.2">
      <c r="A155" s="25"/>
      <c r="B155" s="24" t="s">
        <v>181</v>
      </c>
      <c r="C155" s="64"/>
      <c r="D155" s="64"/>
      <c r="E155" s="64"/>
      <c r="F155" s="64"/>
      <c r="G155" s="54"/>
      <c r="H155" s="119"/>
      <c r="I155" s="54"/>
      <c r="J155" s="54"/>
      <c r="K155" s="54"/>
      <c r="L155" s="119"/>
      <c r="M155" s="54"/>
      <c r="N155" s="54"/>
      <c r="O155" s="54"/>
      <c r="P155" s="119"/>
      <c r="Q155" s="54"/>
      <c r="R155" s="180"/>
    </row>
    <row r="156" spans="1:18" s="38" customFormat="1" ht="25.5" x14ac:dyDescent="0.2">
      <c r="A156" s="25"/>
      <c r="B156" s="24" t="s">
        <v>182</v>
      </c>
      <c r="C156" s="64">
        <f>G156+K156+O156</f>
        <v>0</v>
      </c>
      <c r="D156" s="64">
        <f>H156+L156+P156</f>
        <v>0</v>
      </c>
      <c r="E156" s="64">
        <f>I156+M156+Q156</f>
        <v>0</v>
      </c>
      <c r="F156" s="64">
        <f>J156+N156+R156</f>
        <v>0</v>
      </c>
      <c r="G156" s="54"/>
      <c r="H156" s="119"/>
      <c r="I156" s="54"/>
      <c r="J156" s="54"/>
      <c r="K156" s="54"/>
      <c r="L156" s="119"/>
      <c r="M156" s="54"/>
      <c r="N156" s="54"/>
      <c r="O156" s="54"/>
      <c r="P156" s="119"/>
      <c r="Q156" s="54"/>
      <c r="R156" s="180"/>
    </row>
    <row r="157" spans="1:18" s="38" customFormat="1" x14ac:dyDescent="0.2">
      <c r="A157" s="25"/>
      <c r="B157" s="24" t="s">
        <v>183</v>
      </c>
      <c r="C157" s="64">
        <f t="shared" ref="C157:C162" si="35">G157+K157+O157</f>
        <v>0</v>
      </c>
      <c r="D157" s="64">
        <f t="shared" ref="D157:F162" si="36">H157+L157+P157</f>
        <v>0</v>
      </c>
      <c r="E157" s="64">
        <f t="shared" si="36"/>
        <v>0</v>
      </c>
      <c r="F157" s="64">
        <f t="shared" si="36"/>
        <v>0</v>
      </c>
      <c r="G157" s="54"/>
      <c r="H157" s="119"/>
      <c r="I157" s="54"/>
      <c r="J157" s="54"/>
      <c r="K157" s="54"/>
      <c r="L157" s="119"/>
      <c r="M157" s="54"/>
      <c r="N157" s="54"/>
      <c r="O157" s="54"/>
      <c r="P157" s="119"/>
      <c r="Q157" s="54"/>
      <c r="R157" s="180"/>
    </row>
    <row r="158" spans="1:18" s="38" customFormat="1" ht="25.5" x14ac:dyDescent="0.2">
      <c r="A158" s="25"/>
      <c r="B158" s="24" t="s">
        <v>184</v>
      </c>
      <c r="C158" s="64">
        <f t="shared" si="35"/>
        <v>0</v>
      </c>
      <c r="D158" s="64">
        <f t="shared" si="36"/>
        <v>0</v>
      </c>
      <c r="E158" s="64">
        <f t="shared" si="36"/>
        <v>0</v>
      </c>
      <c r="F158" s="64">
        <f t="shared" si="36"/>
        <v>0</v>
      </c>
      <c r="G158" s="54"/>
      <c r="H158" s="119"/>
      <c r="I158" s="54"/>
      <c r="J158" s="54"/>
      <c r="K158" s="54"/>
      <c r="L158" s="119"/>
      <c r="M158" s="54"/>
      <c r="N158" s="54"/>
      <c r="O158" s="54"/>
      <c r="P158" s="119"/>
      <c r="Q158" s="54"/>
      <c r="R158" s="180"/>
    </row>
    <row r="159" spans="1:18" s="38" customFormat="1" ht="25.5" x14ac:dyDescent="0.2">
      <c r="A159" s="25"/>
      <c r="B159" s="24" t="s">
        <v>185</v>
      </c>
      <c r="C159" s="64">
        <f t="shared" si="35"/>
        <v>0</v>
      </c>
      <c r="D159" s="64">
        <f t="shared" si="36"/>
        <v>0</v>
      </c>
      <c r="E159" s="64">
        <f t="shared" si="36"/>
        <v>0</v>
      </c>
      <c r="F159" s="64">
        <f t="shared" si="36"/>
        <v>0</v>
      </c>
      <c r="G159" s="54"/>
      <c r="H159" s="119"/>
      <c r="I159" s="54"/>
      <c r="J159" s="54"/>
      <c r="K159" s="54"/>
      <c r="L159" s="119"/>
      <c r="M159" s="54"/>
      <c r="N159" s="54"/>
      <c r="O159" s="54"/>
      <c r="P159" s="119"/>
      <c r="Q159" s="54"/>
      <c r="R159" s="180"/>
    </row>
    <row r="160" spans="1:18" s="38" customFormat="1" x14ac:dyDescent="0.2">
      <c r="A160" s="25"/>
      <c r="B160" s="319" t="s">
        <v>186</v>
      </c>
      <c r="C160" s="64">
        <f t="shared" si="35"/>
        <v>0</v>
      </c>
      <c r="D160" s="64">
        <f t="shared" si="36"/>
        <v>0</v>
      </c>
      <c r="E160" s="64">
        <f t="shared" si="36"/>
        <v>0</v>
      </c>
      <c r="F160" s="64">
        <f t="shared" si="36"/>
        <v>0</v>
      </c>
      <c r="G160" s="54"/>
      <c r="H160" s="119"/>
      <c r="I160" s="54"/>
      <c r="J160" s="54"/>
      <c r="K160" s="54"/>
      <c r="L160" s="119"/>
      <c r="M160" s="54"/>
      <c r="N160" s="54"/>
      <c r="O160" s="54"/>
      <c r="P160" s="119"/>
      <c r="Q160" s="54"/>
      <c r="R160" s="180"/>
    </row>
    <row r="161" spans="1:18" s="38" customFormat="1" ht="25.5" x14ac:dyDescent="0.2">
      <c r="A161" s="25"/>
      <c r="B161" s="24" t="s">
        <v>187</v>
      </c>
      <c r="C161" s="64">
        <f t="shared" si="35"/>
        <v>0</v>
      </c>
      <c r="D161" s="64">
        <f t="shared" si="36"/>
        <v>0</v>
      </c>
      <c r="E161" s="64">
        <f t="shared" si="36"/>
        <v>0</v>
      </c>
      <c r="F161" s="64">
        <f t="shared" si="36"/>
        <v>0</v>
      </c>
      <c r="G161" s="49"/>
      <c r="H161" s="119"/>
      <c r="I161" s="54"/>
      <c r="J161" s="54"/>
      <c r="K161" s="54"/>
      <c r="L161" s="119"/>
      <c r="M161" s="54"/>
      <c r="N161" s="54"/>
      <c r="O161" s="54"/>
      <c r="P161" s="119"/>
      <c r="Q161" s="54"/>
      <c r="R161" s="180"/>
    </row>
    <row r="162" spans="1:18" s="38" customFormat="1" ht="25.5" x14ac:dyDescent="0.2">
      <c r="A162" s="25"/>
      <c r="B162" s="24" t="s">
        <v>188</v>
      </c>
      <c r="C162" s="64">
        <f t="shared" si="35"/>
        <v>0</v>
      </c>
      <c r="D162" s="64">
        <f t="shared" si="36"/>
        <v>0</v>
      </c>
      <c r="E162" s="64">
        <f t="shared" si="36"/>
        <v>0</v>
      </c>
      <c r="F162" s="64">
        <f t="shared" si="36"/>
        <v>0</v>
      </c>
      <c r="G162" s="54"/>
      <c r="H162" s="119"/>
      <c r="I162" s="54"/>
      <c r="J162" s="54"/>
      <c r="K162" s="54"/>
      <c r="L162" s="119"/>
      <c r="M162" s="54"/>
      <c r="N162" s="54"/>
      <c r="O162" s="54"/>
      <c r="P162" s="119"/>
      <c r="Q162" s="54"/>
      <c r="R162" s="180"/>
    </row>
    <row r="163" spans="1:18" s="38" customFormat="1" x14ac:dyDescent="0.2">
      <c r="A163" s="25"/>
      <c r="B163" s="24" t="s">
        <v>189</v>
      </c>
      <c r="C163" s="64"/>
      <c r="D163" s="64"/>
      <c r="E163" s="64"/>
      <c r="F163" s="64"/>
      <c r="G163" s="54"/>
      <c r="H163" s="119"/>
      <c r="I163" s="54"/>
      <c r="J163" s="54"/>
      <c r="K163" s="54"/>
      <c r="L163" s="119"/>
      <c r="M163" s="54"/>
      <c r="N163" s="54"/>
      <c r="O163" s="54"/>
      <c r="P163" s="119"/>
      <c r="Q163" s="54"/>
      <c r="R163" s="180"/>
    </row>
    <row r="164" spans="1:18" s="38" customFormat="1" x14ac:dyDescent="0.2">
      <c r="A164" s="25"/>
      <c r="B164" s="40" t="s">
        <v>190</v>
      </c>
      <c r="C164" s="64">
        <f t="shared" si="32"/>
        <v>0</v>
      </c>
      <c r="D164" s="64">
        <f t="shared" si="32"/>
        <v>0</v>
      </c>
      <c r="E164" s="64">
        <f t="shared" si="32"/>
        <v>0</v>
      </c>
      <c r="F164" s="64">
        <f t="shared" si="32"/>
        <v>0</v>
      </c>
      <c r="G164" s="54"/>
      <c r="H164" s="119"/>
      <c r="I164" s="54"/>
      <c r="J164" s="54"/>
      <c r="K164" s="54"/>
      <c r="L164" s="119"/>
      <c r="M164" s="54"/>
      <c r="N164" s="54"/>
      <c r="O164" s="54"/>
      <c r="P164" s="119"/>
      <c r="Q164" s="54"/>
      <c r="R164" s="180"/>
    </row>
    <row r="165" spans="1:18" s="38" customFormat="1" ht="15" thickBot="1" x14ac:dyDescent="0.25">
      <c r="A165" s="25"/>
      <c r="B165" s="24" t="s">
        <v>191</v>
      </c>
      <c r="C165" s="64">
        <f t="shared" si="32"/>
        <v>0</v>
      </c>
      <c r="D165" s="64">
        <f t="shared" si="32"/>
        <v>0</v>
      </c>
      <c r="E165" s="64">
        <f t="shared" si="32"/>
        <v>0</v>
      </c>
      <c r="F165" s="64">
        <f t="shared" si="32"/>
        <v>0</v>
      </c>
      <c r="G165" s="49"/>
      <c r="H165" s="119"/>
      <c r="I165" s="54"/>
      <c r="J165" s="54"/>
      <c r="K165" s="54"/>
      <c r="L165" s="119"/>
      <c r="M165" s="54"/>
      <c r="N165" s="54"/>
      <c r="O165" s="54"/>
      <c r="P165" s="119"/>
      <c r="Q165" s="54"/>
      <c r="R165" s="180"/>
    </row>
    <row r="166" spans="1:18" ht="13.5" thickBot="1" x14ac:dyDescent="0.25">
      <c r="A166" s="108"/>
      <c r="B166" s="169" t="s">
        <v>161</v>
      </c>
      <c r="C166" s="170">
        <f t="shared" ref="C166:R166" si="37">SUM(C135:C165)</f>
        <v>37</v>
      </c>
      <c r="D166" s="170">
        <f t="shared" si="37"/>
        <v>1666000</v>
      </c>
      <c r="E166" s="170">
        <f t="shared" si="37"/>
        <v>0</v>
      </c>
      <c r="F166" s="170">
        <f t="shared" si="37"/>
        <v>0</v>
      </c>
      <c r="G166" s="170">
        <f t="shared" si="37"/>
        <v>37</v>
      </c>
      <c r="H166" s="170">
        <f t="shared" si="37"/>
        <v>1666000</v>
      </c>
      <c r="I166" s="170">
        <f t="shared" si="37"/>
        <v>0</v>
      </c>
      <c r="J166" s="170">
        <f t="shared" si="37"/>
        <v>0</v>
      </c>
      <c r="K166" s="170">
        <f t="shared" si="37"/>
        <v>0</v>
      </c>
      <c r="L166" s="170">
        <f t="shared" si="37"/>
        <v>0</v>
      </c>
      <c r="M166" s="170">
        <f t="shared" si="37"/>
        <v>0</v>
      </c>
      <c r="N166" s="170">
        <f t="shared" si="37"/>
        <v>0</v>
      </c>
      <c r="O166" s="170">
        <f t="shared" si="37"/>
        <v>0</v>
      </c>
      <c r="P166" s="170">
        <f t="shared" si="37"/>
        <v>0</v>
      </c>
      <c r="Q166" s="170">
        <f t="shared" si="37"/>
        <v>0</v>
      </c>
      <c r="R166" s="170">
        <f t="shared" si="37"/>
        <v>0</v>
      </c>
    </row>
    <row r="167" spans="1:18" s="38" customFormat="1" ht="13.5" thickBot="1" x14ac:dyDescent="0.25">
      <c r="A167" s="215"/>
      <c r="B167" s="253"/>
      <c r="C167" s="61"/>
      <c r="D167" s="217"/>
      <c r="E167" s="61"/>
      <c r="F167" s="61"/>
      <c r="G167" s="61"/>
      <c r="H167" s="217"/>
      <c r="I167" s="61"/>
      <c r="J167" s="61"/>
      <c r="K167" s="61"/>
      <c r="L167" s="217"/>
      <c r="M167" s="61"/>
      <c r="N167" s="61"/>
      <c r="O167" s="61"/>
      <c r="P167" s="217"/>
      <c r="Q167" s="61"/>
      <c r="R167" s="61"/>
    </row>
    <row r="168" spans="1:18" ht="16.5" thickBot="1" x14ac:dyDescent="0.3">
      <c r="A168" s="218"/>
      <c r="B168" s="219" t="s">
        <v>162</v>
      </c>
      <c r="C168" s="220">
        <f t="shared" ref="C168:R168" si="38">C12+C48+C60+C73+C77+C92+C133+C166</f>
        <v>526</v>
      </c>
      <c r="D168" s="220">
        <f t="shared" si="38"/>
        <v>9092700</v>
      </c>
      <c r="E168" s="220">
        <f t="shared" si="38"/>
        <v>0</v>
      </c>
      <c r="F168" s="220">
        <f t="shared" si="38"/>
        <v>0</v>
      </c>
      <c r="G168" s="220">
        <f t="shared" si="38"/>
        <v>246</v>
      </c>
      <c r="H168" s="220">
        <f t="shared" si="38"/>
        <v>5219600</v>
      </c>
      <c r="I168" s="220">
        <f t="shared" si="38"/>
        <v>0</v>
      </c>
      <c r="J168" s="220">
        <f t="shared" si="38"/>
        <v>0</v>
      </c>
      <c r="K168" s="220">
        <f t="shared" si="38"/>
        <v>135</v>
      </c>
      <c r="L168" s="220">
        <f t="shared" si="38"/>
        <v>1644000</v>
      </c>
      <c r="M168" s="220">
        <f t="shared" si="38"/>
        <v>0</v>
      </c>
      <c r="N168" s="220">
        <f t="shared" si="38"/>
        <v>0</v>
      </c>
      <c r="O168" s="220">
        <f t="shared" si="38"/>
        <v>146</v>
      </c>
      <c r="P168" s="220">
        <f t="shared" si="38"/>
        <v>2244100</v>
      </c>
      <c r="Q168" s="220">
        <f t="shared" si="38"/>
        <v>0</v>
      </c>
      <c r="R168" s="221">
        <f t="shared" si="38"/>
        <v>0</v>
      </c>
    </row>
    <row r="182" s="5" customFormat="1" x14ac:dyDescent="0.2"/>
    <row r="183" s="5" customFormat="1" x14ac:dyDescent="0.2"/>
  </sheetData>
  <mergeCells count="13">
    <mergeCell ref="O4:P4"/>
    <mergeCell ref="Q4:R4"/>
    <mergeCell ref="G3:J3"/>
    <mergeCell ref="C3:D3"/>
    <mergeCell ref="E3:F3"/>
    <mergeCell ref="K3:N3"/>
    <mergeCell ref="O3:R3"/>
    <mergeCell ref="C4:D4"/>
    <mergeCell ref="E4:F4"/>
    <mergeCell ref="G4:H4"/>
    <mergeCell ref="I4:J4"/>
    <mergeCell ref="K4:L4"/>
    <mergeCell ref="M4:N4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S183"/>
  <sheetViews>
    <sheetView zoomScale="110" zoomScaleNormal="110" workbookViewId="0">
      <pane xSplit="2" ySplit="5" topLeftCell="C6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8.28515625" style="11" customWidth="1"/>
    <col min="2" max="2" width="48.85546875" style="9" customWidth="1"/>
    <col min="3" max="3" width="10.7109375" style="12" customWidth="1"/>
    <col min="4" max="4" width="14" style="13" customWidth="1"/>
    <col min="5" max="5" width="9.28515625" style="5" customWidth="1"/>
    <col min="6" max="6" width="10.85546875" style="5" customWidth="1"/>
    <col min="7" max="7" width="8.28515625" style="12" customWidth="1"/>
    <col min="8" max="8" width="11.28515625" style="13" customWidth="1"/>
    <col min="9" max="9" width="8.7109375" style="5" customWidth="1"/>
    <col min="10" max="10" width="10.42578125" style="5" customWidth="1"/>
    <col min="11" max="11" width="8.7109375" style="12" customWidth="1"/>
    <col min="12" max="12" width="12.7109375" style="13" customWidth="1"/>
    <col min="13" max="13" width="8.85546875" style="5" customWidth="1"/>
    <col min="14" max="14" width="10.28515625" style="5" customWidth="1"/>
    <col min="15" max="15" width="8.85546875" style="12" customWidth="1"/>
    <col min="16" max="16" width="12.85546875" style="13" customWidth="1"/>
    <col min="17" max="17" width="8" style="5" customWidth="1"/>
    <col min="18" max="18" width="14.7109375" style="5" customWidth="1"/>
    <col min="19" max="16384" width="9.140625" style="5"/>
  </cols>
  <sheetData>
    <row r="1" spans="1:19" ht="14.45" customHeight="1" x14ac:dyDescent="0.2">
      <c r="A1" s="1"/>
      <c r="B1" s="14" t="s">
        <v>55</v>
      </c>
      <c r="C1" s="4"/>
      <c r="D1" s="3"/>
      <c r="G1" s="4"/>
      <c r="H1" s="3"/>
      <c r="K1" s="4"/>
      <c r="L1" s="3"/>
      <c r="O1" s="4"/>
      <c r="P1" s="3"/>
    </row>
    <row r="2" spans="1:19" ht="14.45" customHeight="1" thickBot="1" x14ac:dyDescent="0.25">
      <c r="A2" s="1"/>
      <c r="B2" s="2"/>
      <c r="C2" s="4"/>
      <c r="D2" s="3"/>
      <c r="F2" s="17" t="s">
        <v>236</v>
      </c>
      <c r="G2" s="4"/>
      <c r="H2" s="3"/>
      <c r="J2" s="17" t="s">
        <v>236</v>
      </c>
      <c r="K2" s="4"/>
      <c r="L2" s="3"/>
      <c r="N2" s="17" t="s">
        <v>236</v>
      </c>
      <c r="O2" s="4"/>
      <c r="P2" s="3"/>
      <c r="R2" s="17" t="s">
        <v>236</v>
      </c>
    </row>
    <row r="3" spans="1:19" s="6" customFormat="1" ht="19.5" customHeight="1" thickBot="1" x14ac:dyDescent="0.3">
      <c r="A3" s="70"/>
      <c r="B3" s="71"/>
      <c r="C3" s="413" t="s">
        <v>56</v>
      </c>
      <c r="D3" s="415"/>
      <c r="E3" s="419" t="s">
        <v>56</v>
      </c>
      <c r="F3" s="420"/>
      <c r="G3" s="413" t="s">
        <v>243</v>
      </c>
      <c r="H3" s="414"/>
      <c r="I3" s="414"/>
      <c r="J3" s="415"/>
      <c r="K3" s="413" t="s">
        <v>244</v>
      </c>
      <c r="L3" s="414"/>
      <c r="M3" s="414"/>
      <c r="N3" s="415"/>
      <c r="O3" s="413" t="s">
        <v>245</v>
      </c>
      <c r="P3" s="414"/>
      <c r="Q3" s="414"/>
      <c r="R3" s="415"/>
      <c r="S3" s="6" t="s">
        <v>60</v>
      </c>
    </row>
    <row r="4" spans="1:19" s="6" customFormat="1" ht="34.5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405" t="s">
        <v>235</v>
      </c>
      <c r="H4" s="406"/>
      <c r="I4" s="411" t="s">
        <v>59</v>
      </c>
      <c r="J4" s="412"/>
      <c r="K4" s="405" t="s">
        <v>235</v>
      </c>
      <c r="L4" s="406"/>
      <c r="M4" s="411" t="s">
        <v>59</v>
      </c>
      <c r="N4" s="412"/>
      <c r="O4" s="405" t="s">
        <v>235</v>
      </c>
      <c r="P4" s="406"/>
      <c r="Q4" s="411" t="s">
        <v>59</v>
      </c>
      <c r="R4" s="412"/>
    </row>
    <row r="5" spans="1:19" s="7" customFormat="1" ht="35.25" customHeight="1" thickBot="1" x14ac:dyDescent="0.25">
      <c r="A5" s="160" t="s">
        <v>62</v>
      </c>
      <c r="B5" s="161" t="s">
        <v>63</v>
      </c>
      <c r="C5" s="229" t="s">
        <v>57</v>
      </c>
      <c r="D5" s="229" t="s">
        <v>58</v>
      </c>
      <c r="E5" s="229" t="s">
        <v>57</v>
      </c>
      <c r="F5" s="229" t="s">
        <v>58</v>
      </c>
      <c r="G5" s="229" t="s">
        <v>0</v>
      </c>
      <c r="H5" s="229" t="s">
        <v>1</v>
      </c>
      <c r="I5" s="229" t="s">
        <v>0</v>
      </c>
      <c r="J5" s="229" t="s">
        <v>12</v>
      </c>
      <c r="K5" s="229" t="s">
        <v>0</v>
      </c>
      <c r="L5" s="229" t="s">
        <v>1</v>
      </c>
      <c r="M5" s="229" t="s">
        <v>0</v>
      </c>
      <c r="N5" s="229" t="s">
        <v>12</v>
      </c>
      <c r="O5" s="229" t="s">
        <v>0</v>
      </c>
      <c r="P5" s="229" t="s">
        <v>1</v>
      </c>
      <c r="Q5" s="229" t="s">
        <v>0</v>
      </c>
      <c r="R5" s="229" t="s">
        <v>12</v>
      </c>
    </row>
    <row r="6" spans="1:19" s="52" customFormat="1" x14ac:dyDescent="0.2">
      <c r="A6" s="175" t="s">
        <v>2</v>
      </c>
      <c r="B6" s="176" t="s">
        <v>3</v>
      </c>
      <c r="C6" s="177"/>
      <c r="D6" s="178"/>
      <c r="E6" s="177"/>
      <c r="F6" s="177"/>
      <c r="G6" s="177"/>
      <c r="H6" s="178"/>
      <c r="I6" s="177"/>
      <c r="J6" s="177"/>
      <c r="K6" s="177"/>
      <c r="L6" s="178"/>
      <c r="M6" s="177"/>
      <c r="N6" s="177"/>
      <c r="O6" s="177"/>
      <c r="P6" s="178"/>
      <c r="Q6" s="177"/>
      <c r="R6" s="179"/>
    </row>
    <row r="7" spans="1:19" x14ac:dyDescent="0.2">
      <c r="A7" s="86"/>
      <c r="B7" s="89" t="s">
        <v>18</v>
      </c>
      <c r="C7" s="64">
        <f>G7+K7+O7</f>
        <v>0</v>
      </c>
      <c r="D7" s="64">
        <f t="shared" ref="D7:F10" si="0">H7+L7+P7</f>
        <v>0</v>
      </c>
      <c r="E7" s="64">
        <f t="shared" si="0"/>
        <v>0</v>
      </c>
      <c r="F7" s="64">
        <f t="shared" si="0"/>
        <v>0</v>
      </c>
      <c r="G7" s="90"/>
      <c r="H7" s="91"/>
      <c r="I7" s="90"/>
      <c r="J7" s="90"/>
      <c r="K7" s="90"/>
      <c r="L7" s="91"/>
      <c r="M7" s="90"/>
      <c r="N7" s="90"/>
      <c r="O7" s="90"/>
      <c r="P7" s="91"/>
      <c r="Q7" s="90"/>
      <c r="R7" s="224"/>
    </row>
    <row r="8" spans="1:19" x14ac:dyDescent="0.2">
      <c r="A8" s="86"/>
      <c r="B8" s="89" t="s">
        <v>4</v>
      </c>
      <c r="C8" s="64">
        <f t="shared" ref="C8:C9" si="1">G8+K8+O8</f>
        <v>0</v>
      </c>
      <c r="D8" s="64">
        <f t="shared" si="0"/>
        <v>0</v>
      </c>
      <c r="E8" s="64">
        <f t="shared" si="0"/>
        <v>0</v>
      </c>
      <c r="F8" s="64">
        <f t="shared" si="0"/>
        <v>0</v>
      </c>
      <c r="G8" s="90"/>
      <c r="H8" s="91"/>
      <c r="I8" s="90"/>
      <c r="J8" s="90"/>
      <c r="K8" s="90"/>
      <c r="L8" s="91"/>
      <c r="M8" s="90"/>
      <c r="N8" s="90"/>
      <c r="O8" s="90"/>
      <c r="P8" s="91"/>
      <c r="Q8" s="90"/>
      <c r="R8" s="224"/>
    </row>
    <row r="9" spans="1:19" x14ac:dyDescent="0.2">
      <c r="A9" s="86"/>
      <c r="B9" s="89" t="s">
        <v>17</v>
      </c>
      <c r="C9" s="64">
        <f t="shared" si="1"/>
        <v>0</v>
      </c>
      <c r="D9" s="64">
        <f t="shared" si="0"/>
        <v>0</v>
      </c>
      <c r="E9" s="64">
        <f t="shared" si="0"/>
        <v>0</v>
      </c>
      <c r="F9" s="64">
        <f t="shared" si="0"/>
        <v>0</v>
      </c>
      <c r="G9" s="90"/>
      <c r="H9" s="91"/>
      <c r="I9" s="90"/>
      <c r="J9" s="90"/>
      <c r="K9" s="90"/>
      <c r="L9" s="91"/>
      <c r="M9" s="90"/>
      <c r="N9" s="90"/>
      <c r="O9" s="90"/>
      <c r="P9" s="91"/>
      <c r="Q9" s="90"/>
      <c r="R9" s="224"/>
    </row>
    <row r="10" spans="1:19" x14ac:dyDescent="0.2">
      <c r="A10" s="86"/>
      <c r="B10" s="89" t="s">
        <v>15</v>
      </c>
      <c r="C10" s="64">
        <f t="shared" ref="C10" si="2">G10+K10+O10</f>
        <v>1</v>
      </c>
      <c r="D10" s="64">
        <f t="shared" si="0"/>
        <v>260000</v>
      </c>
      <c r="E10" s="64">
        <f t="shared" si="0"/>
        <v>0</v>
      </c>
      <c r="F10" s="64">
        <f t="shared" si="0"/>
        <v>0</v>
      </c>
      <c r="G10" s="90">
        <v>1</v>
      </c>
      <c r="H10" s="91">
        <v>260000</v>
      </c>
      <c r="I10" s="90"/>
      <c r="J10" s="90"/>
      <c r="K10" s="90"/>
      <c r="L10" s="91"/>
      <c r="M10" s="90"/>
      <c r="N10" s="90"/>
      <c r="O10" s="90"/>
      <c r="P10" s="91"/>
      <c r="Q10" s="90"/>
      <c r="R10" s="224"/>
    </row>
    <row r="11" spans="1:19" ht="13.5" thickBot="1" x14ac:dyDescent="0.25">
      <c r="A11" s="225"/>
      <c r="B11" s="159" t="s">
        <v>16</v>
      </c>
      <c r="C11" s="239">
        <f t="shared" ref="C11" si="3">G11+K11+O11</f>
        <v>2</v>
      </c>
      <c r="D11" s="239">
        <f t="shared" ref="D11" si="4">H11+L11+P11</f>
        <v>400000</v>
      </c>
      <c r="E11" s="239">
        <f t="shared" ref="E11" si="5">I11+M11+Q11</f>
        <v>0</v>
      </c>
      <c r="F11" s="239">
        <f t="shared" ref="F11" si="6">J11+N11+R11</f>
        <v>0</v>
      </c>
      <c r="G11" s="230"/>
      <c r="H11" s="231"/>
      <c r="I11" s="230"/>
      <c r="J11" s="230"/>
      <c r="K11" s="230">
        <v>1</v>
      </c>
      <c r="L11" s="231">
        <v>200000</v>
      </c>
      <c r="M11" s="230"/>
      <c r="N11" s="230"/>
      <c r="O11" s="230">
        <v>1</v>
      </c>
      <c r="P11" s="231">
        <v>200000</v>
      </c>
      <c r="Q11" s="230"/>
      <c r="R11" s="228"/>
    </row>
    <row r="12" spans="1:19" s="9" customFormat="1" ht="13.5" thickBot="1" x14ac:dyDescent="0.25">
      <c r="A12" s="232"/>
      <c r="B12" s="233" t="s">
        <v>155</v>
      </c>
      <c r="C12" s="107">
        <f t="shared" ref="C12:R12" si="7">SUM(C7:C11)</f>
        <v>3</v>
      </c>
      <c r="D12" s="107">
        <f t="shared" si="7"/>
        <v>660000</v>
      </c>
      <c r="E12" s="107">
        <f t="shared" si="7"/>
        <v>0</v>
      </c>
      <c r="F12" s="107">
        <f t="shared" si="7"/>
        <v>0</v>
      </c>
      <c r="G12" s="107">
        <f t="shared" si="7"/>
        <v>1</v>
      </c>
      <c r="H12" s="107">
        <f t="shared" si="7"/>
        <v>260000</v>
      </c>
      <c r="I12" s="107">
        <f t="shared" si="7"/>
        <v>0</v>
      </c>
      <c r="J12" s="107">
        <f t="shared" si="7"/>
        <v>0</v>
      </c>
      <c r="K12" s="107">
        <f t="shared" si="7"/>
        <v>1</v>
      </c>
      <c r="L12" s="107">
        <f t="shared" si="7"/>
        <v>200000</v>
      </c>
      <c r="M12" s="107">
        <f t="shared" si="7"/>
        <v>0</v>
      </c>
      <c r="N12" s="107">
        <f t="shared" si="7"/>
        <v>0</v>
      </c>
      <c r="O12" s="107">
        <f t="shared" si="7"/>
        <v>1</v>
      </c>
      <c r="P12" s="107">
        <f t="shared" si="7"/>
        <v>200000</v>
      </c>
      <c r="Q12" s="107">
        <f t="shared" si="7"/>
        <v>0</v>
      </c>
      <c r="R12" s="107">
        <f t="shared" si="7"/>
        <v>0</v>
      </c>
    </row>
    <row r="13" spans="1:19" s="52" customFormat="1" x14ac:dyDescent="0.2">
      <c r="A13" s="175" t="s">
        <v>5</v>
      </c>
      <c r="B13" s="176" t="s">
        <v>89</v>
      </c>
      <c r="C13" s="213"/>
      <c r="D13" s="213"/>
      <c r="E13" s="213"/>
      <c r="F13" s="213"/>
      <c r="G13" s="177"/>
      <c r="H13" s="178"/>
      <c r="I13" s="177"/>
      <c r="J13" s="177"/>
      <c r="K13" s="177"/>
      <c r="L13" s="178"/>
      <c r="M13" s="177"/>
      <c r="N13" s="177"/>
      <c r="O13" s="177"/>
      <c r="P13" s="178"/>
      <c r="Q13" s="177"/>
      <c r="R13" s="179"/>
    </row>
    <row r="14" spans="1:19" s="52" customFormat="1" ht="15" x14ac:dyDescent="0.25">
      <c r="A14" s="25"/>
      <c r="B14" s="209" t="s">
        <v>19</v>
      </c>
      <c r="C14" s="64">
        <f>G14+K14+O14</f>
        <v>14</v>
      </c>
      <c r="D14" s="64">
        <f>H14+L14+P14</f>
        <v>42000</v>
      </c>
      <c r="E14" s="64">
        <f t="shared" ref="C14:F47" si="8">I14+M14+Q14</f>
        <v>0</v>
      </c>
      <c r="F14" s="64">
        <f t="shared" si="8"/>
        <v>0</v>
      </c>
      <c r="G14" s="47">
        <v>5</v>
      </c>
      <c r="H14" s="119">
        <f>G14*3000</f>
        <v>15000</v>
      </c>
      <c r="I14" s="54"/>
      <c r="J14" s="54"/>
      <c r="K14" s="54">
        <v>4</v>
      </c>
      <c r="L14" s="119">
        <f>K14*3000</f>
        <v>12000</v>
      </c>
      <c r="M14" s="54"/>
      <c r="N14" s="54"/>
      <c r="O14" s="54">
        <v>5</v>
      </c>
      <c r="P14" s="119">
        <f>O14*3000</f>
        <v>15000</v>
      </c>
      <c r="Q14" s="54"/>
      <c r="R14" s="180"/>
    </row>
    <row r="15" spans="1:19" s="52" customFormat="1" x14ac:dyDescent="0.2">
      <c r="A15" s="25"/>
      <c r="B15" s="209" t="s">
        <v>20</v>
      </c>
      <c r="C15" s="64">
        <f>G15+K15+O15</f>
        <v>0</v>
      </c>
      <c r="D15" s="64">
        <f>H15+L15+P15</f>
        <v>0</v>
      </c>
      <c r="E15" s="64">
        <f t="shared" si="8"/>
        <v>0</v>
      </c>
      <c r="F15" s="64">
        <f t="shared" si="8"/>
        <v>0</v>
      </c>
      <c r="G15" s="54"/>
      <c r="H15" s="119"/>
      <c r="I15" s="54"/>
      <c r="J15" s="54"/>
      <c r="K15" s="54"/>
      <c r="L15" s="119"/>
      <c r="M15" s="54"/>
      <c r="N15" s="54"/>
      <c r="O15" s="54"/>
      <c r="P15" s="119"/>
      <c r="Q15" s="54"/>
      <c r="R15" s="180"/>
    </row>
    <row r="16" spans="1:19" s="52" customFormat="1" x14ac:dyDescent="0.2">
      <c r="A16" s="25"/>
      <c r="B16" s="318" t="s">
        <v>21</v>
      </c>
      <c r="C16" s="64">
        <f>G16+K16+O16</f>
        <v>4</v>
      </c>
      <c r="D16" s="64">
        <f t="shared" si="8"/>
        <v>18000</v>
      </c>
      <c r="E16" s="64">
        <f t="shared" si="8"/>
        <v>0</v>
      </c>
      <c r="F16" s="64">
        <f t="shared" si="8"/>
        <v>0</v>
      </c>
      <c r="G16" s="54"/>
      <c r="H16" s="119"/>
      <c r="I16" s="54"/>
      <c r="J16" s="54"/>
      <c r="K16" s="54">
        <v>2</v>
      </c>
      <c r="L16" s="119">
        <f>K16*4500</f>
        <v>9000</v>
      </c>
      <c r="M16" s="54"/>
      <c r="N16" s="54"/>
      <c r="O16" s="54">
        <v>2</v>
      </c>
      <c r="P16" s="119">
        <f>O16*4500</f>
        <v>9000</v>
      </c>
      <c r="Q16" s="54"/>
      <c r="R16" s="180"/>
    </row>
    <row r="17" spans="1:18" s="52" customFormat="1" x14ac:dyDescent="0.2">
      <c r="A17" s="25"/>
      <c r="B17" s="318" t="s">
        <v>23</v>
      </c>
      <c r="C17" s="64">
        <f>G17+K17+O17</f>
        <v>2</v>
      </c>
      <c r="D17" s="64">
        <f t="shared" si="8"/>
        <v>9000</v>
      </c>
      <c r="E17" s="64">
        <f t="shared" si="8"/>
        <v>0</v>
      </c>
      <c r="F17" s="64">
        <f t="shared" si="8"/>
        <v>0</v>
      </c>
      <c r="G17" s="54"/>
      <c r="H17" s="119"/>
      <c r="I17" s="54"/>
      <c r="J17" s="54"/>
      <c r="K17" s="54">
        <v>2</v>
      </c>
      <c r="L17" s="119">
        <f>K17*4500</f>
        <v>9000</v>
      </c>
      <c r="M17" s="54"/>
      <c r="N17" s="54"/>
      <c r="O17" s="54"/>
      <c r="P17" s="119"/>
      <c r="Q17" s="54"/>
      <c r="R17" s="180"/>
    </row>
    <row r="18" spans="1:18" s="38" customFormat="1" x14ac:dyDescent="0.2">
      <c r="A18" s="25"/>
      <c r="B18" s="318" t="s">
        <v>24</v>
      </c>
      <c r="C18" s="64">
        <f>G18+K18+O18</f>
        <v>0</v>
      </c>
      <c r="D18" s="64">
        <f>H18+L18+P18</f>
        <v>0</v>
      </c>
      <c r="E18" s="64">
        <f t="shared" si="8"/>
        <v>0</v>
      </c>
      <c r="F18" s="64">
        <f t="shared" si="8"/>
        <v>0</v>
      </c>
      <c r="G18" s="54"/>
      <c r="H18" s="119"/>
      <c r="I18" s="54"/>
      <c r="J18" s="54"/>
      <c r="K18" s="54"/>
      <c r="L18" s="119"/>
      <c r="M18" s="54"/>
      <c r="N18" s="54"/>
      <c r="O18" s="54"/>
      <c r="P18" s="119"/>
      <c r="Q18" s="54"/>
      <c r="R18" s="180"/>
    </row>
    <row r="19" spans="1:18" s="38" customFormat="1" ht="15" x14ac:dyDescent="0.25">
      <c r="A19" s="25"/>
      <c r="B19" s="48" t="s">
        <v>25</v>
      </c>
      <c r="C19" s="64">
        <f>G19+K19+O19</f>
        <v>0</v>
      </c>
      <c r="D19" s="64">
        <f>H19+L19+P19</f>
        <v>0</v>
      </c>
      <c r="E19" s="64">
        <f t="shared" si="8"/>
        <v>0</v>
      </c>
      <c r="F19" s="64">
        <f t="shared" si="8"/>
        <v>0</v>
      </c>
      <c r="G19" s="47"/>
      <c r="H19" s="119"/>
      <c r="I19" s="54"/>
      <c r="J19" s="54"/>
      <c r="K19" s="54"/>
      <c r="L19" s="119"/>
      <c r="M19" s="54"/>
      <c r="N19" s="54"/>
      <c r="O19" s="47"/>
      <c r="P19" s="119"/>
      <c r="Q19" s="54"/>
      <c r="R19" s="180"/>
    </row>
    <row r="20" spans="1:18" s="38" customFormat="1" x14ac:dyDescent="0.2">
      <c r="A20" s="25"/>
      <c r="B20" s="209" t="s">
        <v>26</v>
      </c>
      <c r="C20" s="64">
        <f t="shared" si="8"/>
        <v>0</v>
      </c>
      <c r="D20" s="64">
        <f t="shared" si="8"/>
        <v>0</v>
      </c>
      <c r="E20" s="64">
        <f t="shared" si="8"/>
        <v>0</v>
      </c>
      <c r="F20" s="64">
        <f t="shared" si="8"/>
        <v>0</v>
      </c>
      <c r="G20" s="54"/>
      <c r="H20" s="119"/>
      <c r="I20" s="54"/>
      <c r="J20" s="54"/>
      <c r="K20" s="54"/>
      <c r="L20" s="119"/>
      <c r="M20" s="54"/>
      <c r="N20" s="54"/>
      <c r="O20" s="54"/>
      <c r="P20" s="119"/>
      <c r="Q20" s="54"/>
      <c r="R20" s="180"/>
    </row>
    <row r="21" spans="1:18" s="38" customFormat="1" x14ac:dyDescent="0.2">
      <c r="A21" s="25"/>
      <c r="B21" s="209" t="s">
        <v>27</v>
      </c>
      <c r="C21" s="64">
        <f>G21+K21+O21</f>
        <v>15</v>
      </c>
      <c r="D21" s="64">
        <f>H21+L21+P21</f>
        <v>22500</v>
      </c>
      <c r="E21" s="64">
        <f>I21+M21+Q21</f>
        <v>0</v>
      </c>
      <c r="F21" s="64">
        <f>J21+N21+R21</f>
        <v>0</v>
      </c>
      <c r="G21" s="54">
        <v>10</v>
      </c>
      <c r="H21" s="119">
        <f>G21*1500</f>
        <v>15000</v>
      </c>
      <c r="I21" s="54"/>
      <c r="J21" s="54"/>
      <c r="K21" s="54"/>
      <c r="L21" s="119"/>
      <c r="M21" s="54"/>
      <c r="N21" s="54"/>
      <c r="O21" s="54">
        <v>5</v>
      </c>
      <c r="P21" s="119">
        <f>O21*1500</f>
        <v>7500</v>
      </c>
      <c r="Q21" s="54"/>
      <c r="R21" s="180"/>
    </row>
    <row r="22" spans="1:18" s="38" customFormat="1" ht="15" x14ac:dyDescent="0.25">
      <c r="A22" s="25"/>
      <c r="B22" s="48" t="s">
        <v>28</v>
      </c>
      <c r="C22" s="64">
        <f t="shared" si="8"/>
        <v>6</v>
      </c>
      <c r="D22" s="64">
        <f t="shared" si="8"/>
        <v>24000</v>
      </c>
      <c r="E22" s="64">
        <f>I22+M22+Q22</f>
        <v>0</v>
      </c>
      <c r="F22" s="64">
        <f>J22+N22+R22</f>
        <v>0</v>
      </c>
      <c r="G22" s="54">
        <v>3</v>
      </c>
      <c r="H22" s="119">
        <f>G22*4000</f>
        <v>12000</v>
      </c>
      <c r="I22" s="54"/>
      <c r="J22" s="54"/>
      <c r="K22" s="47">
        <v>1</v>
      </c>
      <c r="L22" s="119">
        <f>K22*4000</f>
        <v>4000</v>
      </c>
      <c r="M22" s="54"/>
      <c r="N22" s="54"/>
      <c r="O22" s="54">
        <v>2</v>
      </c>
      <c r="P22" s="119">
        <f>O22*4000</f>
        <v>8000</v>
      </c>
      <c r="Q22" s="54"/>
      <c r="R22" s="180"/>
    </row>
    <row r="23" spans="1:18" s="38" customFormat="1" x14ac:dyDescent="0.2">
      <c r="A23" s="25"/>
      <c r="B23" s="48" t="s">
        <v>29</v>
      </c>
      <c r="C23" s="64">
        <f t="shared" si="8"/>
        <v>0</v>
      </c>
      <c r="D23" s="64">
        <f t="shared" si="8"/>
        <v>0</v>
      </c>
      <c r="E23" s="64">
        <f t="shared" si="8"/>
        <v>0</v>
      </c>
      <c r="F23" s="64">
        <f t="shared" si="8"/>
        <v>0</v>
      </c>
      <c r="G23" s="54"/>
      <c r="H23" s="119"/>
      <c r="I23" s="54"/>
      <c r="J23" s="54"/>
      <c r="K23" s="54"/>
      <c r="L23" s="119"/>
      <c r="M23" s="54"/>
      <c r="N23" s="54"/>
      <c r="O23" s="54"/>
      <c r="P23" s="119"/>
      <c r="Q23" s="54"/>
      <c r="R23" s="180"/>
    </row>
    <row r="24" spans="1:18" s="38" customFormat="1" ht="15" x14ac:dyDescent="0.25">
      <c r="A24" s="25"/>
      <c r="B24" s="48" t="s">
        <v>30</v>
      </c>
      <c r="C24" s="64">
        <f t="shared" si="8"/>
        <v>6</v>
      </c>
      <c r="D24" s="64">
        <f t="shared" si="8"/>
        <v>18000</v>
      </c>
      <c r="E24" s="64">
        <f t="shared" si="8"/>
        <v>0</v>
      </c>
      <c r="F24" s="64">
        <f t="shared" si="8"/>
        <v>0</v>
      </c>
      <c r="G24" s="47"/>
      <c r="H24" s="119"/>
      <c r="I24" s="54"/>
      <c r="J24" s="54"/>
      <c r="K24" s="54">
        <v>3</v>
      </c>
      <c r="L24" s="119">
        <f>K24*3000</f>
        <v>9000</v>
      </c>
      <c r="M24" s="54"/>
      <c r="N24" s="54"/>
      <c r="O24" s="54">
        <v>3</v>
      </c>
      <c r="P24" s="119">
        <f>O24*3000</f>
        <v>9000</v>
      </c>
      <c r="Q24" s="54"/>
      <c r="R24" s="180"/>
    </row>
    <row r="25" spans="1:18" s="38" customFormat="1" x14ac:dyDescent="0.2">
      <c r="A25" s="25"/>
      <c r="B25" s="48" t="s">
        <v>31</v>
      </c>
      <c r="C25" s="64">
        <f t="shared" si="8"/>
        <v>4</v>
      </c>
      <c r="D25" s="64">
        <f t="shared" si="8"/>
        <v>16000</v>
      </c>
      <c r="E25" s="64">
        <f t="shared" si="8"/>
        <v>0</v>
      </c>
      <c r="F25" s="64">
        <f t="shared" si="8"/>
        <v>0</v>
      </c>
      <c r="G25" s="54"/>
      <c r="H25" s="119"/>
      <c r="I25" s="54"/>
      <c r="J25" s="54"/>
      <c r="K25" s="54">
        <v>2</v>
      </c>
      <c r="L25" s="119">
        <f>K25*4000</f>
        <v>8000</v>
      </c>
      <c r="M25" s="54"/>
      <c r="N25" s="54"/>
      <c r="O25" s="54">
        <v>2</v>
      </c>
      <c r="P25" s="119">
        <f>O25*4000</f>
        <v>8000</v>
      </c>
      <c r="Q25" s="54"/>
      <c r="R25" s="180"/>
    </row>
    <row r="26" spans="1:18" s="38" customFormat="1" ht="15" x14ac:dyDescent="0.25">
      <c r="A26" s="25"/>
      <c r="B26" s="209" t="s">
        <v>32</v>
      </c>
      <c r="C26" s="64">
        <f t="shared" si="8"/>
        <v>14</v>
      </c>
      <c r="D26" s="64">
        <f t="shared" si="8"/>
        <v>35000</v>
      </c>
      <c r="E26" s="64">
        <f t="shared" si="8"/>
        <v>0</v>
      </c>
      <c r="F26" s="64">
        <f t="shared" si="8"/>
        <v>0</v>
      </c>
      <c r="G26" s="47">
        <v>10</v>
      </c>
      <c r="H26" s="119">
        <f>G26*2500</f>
        <v>25000</v>
      </c>
      <c r="I26" s="54"/>
      <c r="J26" s="54"/>
      <c r="K26" s="54"/>
      <c r="L26" s="119"/>
      <c r="M26" s="54"/>
      <c r="N26" s="54"/>
      <c r="O26" s="54">
        <v>4</v>
      </c>
      <c r="P26" s="119">
        <f>O26*2500</f>
        <v>10000</v>
      </c>
      <c r="Q26" s="54"/>
      <c r="R26" s="180"/>
    </row>
    <row r="27" spans="1:18" s="38" customFormat="1" ht="15" x14ac:dyDescent="0.25">
      <c r="A27" s="25"/>
      <c r="B27" s="209" t="s">
        <v>33</v>
      </c>
      <c r="C27" s="64">
        <f t="shared" si="8"/>
        <v>8</v>
      </c>
      <c r="D27" s="64">
        <f t="shared" si="8"/>
        <v>20000</v>
      </c>
      <c r="E27" s="64">
        <f t="shared" si="8"/>
        <v>0</v>
      </c>
      <c r="F27" s="64">
        <f t="shared" si="8"/>
        <v>0</v>
      </c>
      <c r="G27" s="47"/>
      <c r="H27" s="119"/>
      <c r="I27" s="54"/>
      <c r="J27" s="54"/>
      <c r="K27" s="54">
        <v>5</v>
      </c>
      <c r="L27" s="119">
        <f>K27*2500</f>
        <v>12500</v>
      </c>
      <c r="M27" s="54"/>
      <c r="N27" s="54"/>
      <c r="O27" s="47">
        <v>3</v>
      </c>
      <c r="P27" s="119">
        <f>O27*2500</f>
        <v>7500</v>
      </c>
      <c r="Q27" s="54"/>
      <c r="R27" s="180"/>
    </row>
    <row r="28" spans="1:18" s="38" customFormat="1" ht="15" x14ac:dyDescent="0.25">
      <c r="A28" s="25"/>
      <c r="B28" s="209" t="s">
        <v>35</v>
      </c>
      <c r="C28" s="64">
        <f t="shared" si="8"/>
        <v>9</v>
      </c>
      <c r="D28" s="64">
        <f t="shared" si="8"/>
        <v>20000</v>
      </c>
      <c r="E28" s="64">
        <f t="shared" si="8"/>
        <v>0</v>
      </c>
      <c r="F28" s="64">
        <f t="shared" si="8"/>
        <v>0</v>
      </c>
      <c r="G28" s="47"/>
      <c r="H28" s="119"/>
      <c r="I28" s="54"/>
      <c r="J28" s="54"/>
      <c r="K28" s="54">
        <v>5</v>
      </c>
      <c r="L28" s="119">
        <f>K28*2000</f>
        <v>10000</v>
      </c>
      <c r="M28" s="54"/>
      <c r="N28" s="54"/>
      <c r="O28" s="54">
        <v>4</v>
      </c>
      <c r="P28" s="119">
        <f>O28*2500</f>
        <v>10000</v>
      </c>
      <c r="Q28" s="54"/>
      <c r="R28" s="180"/>
    </row>
    <row r="29" spans="1:18" s="38" customFormat="1" ht="15" x14ac:dyDescent="0.25">
      <c r="A29" s="25"/>
      <c r="B29" s="209" t="s">
        <v>36</v>
      </c>
      <c r="C29" s="64">
        <f t="shared" si="8"/>
        <v>4</v>
      </c>
      <c r="D29" s="64">
        <f t="shared" si="8"/>
        <v>20000</v>
      </c>
      <c r="E29" s="64">
        <f t="shared" si="8"/>
        <v>0</v>
      </c>
      <c r="F29" s="64">
        <f t="shared" si="8"/>
        <v>0</v>
      </c>
      <c r="G29" s="47">
        <v>3</v>
      </c>
      <c r="H29" s="119">
        <f>G29*5000</f>
        <v>15000</v>
      </c>
      <c r="I29" s="54"/>
      <c r="J29" s="54"/>
      <c r="K29" s="54"/>
      <c r="L29" s="119"/>
      <c r="M29" s="54"/>
      <c r="N29" s="54"/>
      <c r="O29" s="54">
        <v>1</v>
      </c>
      <c r="P29" s="119">
        <f>O29*5000</f>
        <v>5000</v>
      </c>
      <c r="Q29" s="54"/>
      <c r="R29" s="180"/>
    </row>
    <row r="30" spans="1:18" s="38" customFormat="1" x14ac:dyDescent="0.2">
      <c r="A30" s="25"/>
      <c r="B30" s="209" t="s">
        <v>37</v>
      </c>
      <c r="C30" s="64">
        <f t="shared" si="8"/>
        <v>15</v>
      </c>
      <c r="D30" s="64">
        <f t="shared" si="8"/>
        <v>45000</v>
      </c>
      <c r="E30" s="64">
        <f t="shared" si="8"/>
        <v>0</v>
      </c>
      <c r="F30" s="64">
        <f t="shared" si="8"/>
        <v>0</v>
      </c>
      <c r="G30" s="54">
        <v>10</v>
      </c>
      <c r="H30" s="119">
        <f>G30*3000</f>
        <v>30000</v>
      </c>
      <c r="I30" s="54"/>
      <c r="J30" s="54"/>
      <c r="K30" s="54">
        <v>5</v>
      </c>
      <c r="L30" s="119">
        <f>K30*3000</f>
        <v>15000</v>
      </c>
      <c r="M30" s="54"/>
      <c r="N30" s="54"/>
      <c r="O30" s="54"/>
      <c r="P30" s="119">
        <f>O30*3000</f>
        <v>0</v>
      </c>
      <c r="Q30" s="54"/>
      <c r="R30" s="180"/>
    </row>
    <row r="31" spans="1:18" s="38" customFormat="1" x14ac:dyDescent="0.2">
      <c r="A31" s="25"/>
      <c r="B31" s="48" t="s">
        <v>38</v>
      </c>
      <c r="C31" s="64">
        <f t="shared" si="8"/>
        <v>15</v>
      </c>
      <c r="D31" s="64">
        <f t="shared" si="8"/>
        <v>37500</v>
      </c>
      <c r="E31" s="64">
        <f t="shared" si="8"/>
        <v>0</v>
      </c>
      <c r="F31" s="64">
        <f t="shared" si="8"/>
        <v>0</v>
      </c>
      <c r="G31" s="54">
        <v>5</v>
      </c>
      <c r="H31" s="119">
        <f>G31*2500</f>
        <v>12500</v>
      </c>
      <c r="I31" s="54"/>
      <c r="J31" s="54"/>
      <c r="K31" s="54">
        <v>4</v>
      </c>
      <c r="L31" s="119">
        <f>K31*2500</f>
        <v>10000</v>
      </c>
      <c r="M31" s="54"/>
      <c r="N31" s="54"/>
      <c r="O31" s="54">
        <v>6</v>
      </c>
      <c r="P31" s="119">
        <f>O31*2500</f>
        <v>15000</v>
      </c>
      <c r="Q31" s="54"/>
      <c r="R31" s="180"/>
    </row>
    <row r="32" spans="1:18" s="38" customFormat="1" x14ac:dyDescent="0.2">
      <c r="A32" s="25"/>
      <c r="B32" s="209" t="s">
        <v>39</v>
      </c>
      <c r="C32" s="64">
        <f t="shared" si="8"/>
        <v>7</v>
      </c>
      <c r="D32" s="64">
        <f t="shared" si="8"/>
        <v>14000</v>
      </c>
      <c r="E32" s="64">
        <f t="shared" si="8"/>
        <v>0</v>
      </c>
      <c r="F32" s="64">
        <f t="shared" si="8"/>
        <v>0</v>
      </c>
      <c r="G32" s="54">
        <v>5</v>
      </c>
      <c r="H32" s="119">
        <f>G32*2000</f>
        <v>10000</v>
      </c>
      <c r="I32" s="54"/>
      <c r="J32" s="54"/>
      <c r="K32" s="54">
        <v>2</v>
      </c>
      <c r="L32" s="119">
        <f>K32*2000</f>
        <v>4000</v>
      </c>
      <c r="M32" s="54"/>
      <c r="N32" s="54"/>
      <c r="O32" s="54"/>
      <c r="P32" s="119">
        <f>O32*2000</f>
        <v>0</v>
      </c>
      <c r="Q32" s="54"/>
      <c r="R32" s="180"/>
    </row>
    <row r="33" spans="1:18" s="38" customFormat="1" x14ac:dyDescent="0.2">
      <c r="A33" s="25"/>
      <c r="B33" s="209" t="s">
        <v>40</v>
      </c>
      <c r="C33" s="64">
        <f t="shared" si="8"/>
        <v>1</v>
      </c>
      <c r="D33" s="64">
        <f t="shared" si="8"/>
        <v>3000</v>
      </c>
      <c r="E33" s="64">
        <f t="shared" si="8"/>
        <v>0</v>
      </c>
      <c r="F33" s="64">
        <f t="shared" si="8"/>
        <v>0</v>
      </c>
      <c r="G33" s="54"/>
      <c r="H33" s="119">
        <f>G33*3000</f>
        <v>0</v>
      </c>
      <c r="I33" s="54"/>
      <c r="J33" s="54"/>
      <c r="K33" s="54">
        <v>1</v>
      </c>
      <c r="L33" s="119">
        <f>K33*3000</f>
        <v>3000</v>
      </c>
      <c r="M33" s="54"/>
      <c r="N33" s="54"/>
      <c r="O33" s="54"/>
      <c r="P33" s="119">
        <f>O33*3000</f>
        <v>0</v>
      </c>
      <c r="Q33" s="54"/>
      <c r="R33" s="180"/>
    </row>
    <row r="34" spans="1:18" s="38" customFormat="1" x14ac:dyDescent="0.2">
      <c r="A34" s="25"/>
      <c r="B34" s="209" t="s">
        <v>41</v>
      </c>
      <c r="C34" s="64">
        <f t="shared" si="8"/>
        <v>13</v>
      </c>
      <c r="D34" s="64">
        <f t="shared" si="8"/>
        <v>32500</v>
      </c>
      <c r="E34" s="64">
        <f t="shared" si="8"/>
        <v>0</v>
      </c>
      <c r="F34" s="64">
        <f t="shared" si="8"/>
        <v>0</v>
      </c>
      <c r="G34" s="54">
        <v>6</v>
      </c>
      <c r="H34" s="119">
        <f>G34*2500</f>
        <v>15000</v>
      </c>
      <c r="I34" s="54"/>
      <c r="J34" s="54"/>
      <c r="K34" s="54">
        <v>4</v>
      </c>
      <c r="L34" s="119">
        <f>K34*2500</f>
        <v>10000</v>
      </c>
      <c r="M34" s="54"/>
      <c r="N34" s="54"/>
      <c r="O34" s="54">
        <v>3</v>
      </c>
      <c r="P34" s="119">
        <f>O34*2500</f>
        <v>7500</v>
      </c>
      <c r="Q34" s="54"/>
      <c r="R34" s="180"/>
    </row>
    <row r="35" spans="1:18" s="38" customFormat="1" x14ac:dyDescent="0.2">
      <c r="A35" s="25"/>
      <c r="B35" s="209" t="s">
        <v>42</v>
      </c>
      <c r="C35" s="64">
        <f t="shared" si="8"/>
        <v>3</v>
      </c>
      <c r="D35" s="64">
        <f t="shared" si="8"/>
        <v>6000</v>
      </c>
      <c r="E35" s="64">
        <f t="shared" si="8"/>
        <v>0</v>
      </c>
      <c r="F35" s="64">
        <f t="shared" si="8"/>
        <v>0</v>
      </c>
      <c r="G35" s="54"/>
      <c r="H35" s="119">
        <f>G35*2000</f>
        <v>0</v>
      </c>
      <c r="I35" s="54"/>
      <c r="J35" s="54"/>
      <c r="K35" s="54">
        <v>3</v>
      </c>
      <c r="L35" s="119">
        <f>K35*2000</f>
        <v>6000</v>
      </c>
      <c r="M35" s="54"/>
      <c r="N35" s="54"/>
      <c r="O35" s="54"/>
      <c r="P35" s="119">
        <f>O35*2000</f>
        <v>0</v>
      </c>
      <c r="Q35" s="54"/>
      <c r="R35" s="180"/>
    </row>
    <row r="36" spans="1:18" s="38" customFormat="1" x14ac:dyDescent="0.2">
      <c r="A36" s="25"/>
      <c r="B36" s="48" t="s">
        <v>43</v>
      </c>
      <c r="C36" s="64">
        <f t="shared" si="8"/>
        <v>20</v>
      </c>
      <c r="D36" s="64">
        <f t="shared" si="8"/>
        <v>24000</v>
      </c>
      <c r="E36" s="64">
        <f t="shared" si="8"/>
        <v>0</v>
      </c>
      <c r="F36" s="64">
        <f t="shared" si="8"/>
        <v>0</v>
      </c>
      <c r="G36" s="54">
        <v>10</v>
      </c>
      <c r="H36" s="119">
        <f>G36*1200</f>
        <v>12000</v>
      </c>
      <c r="I36" s="54"/>
      <c r="J36" s="54"/>
      <c r="K36" s="54">
        <v>5</v>
      </c>
      <c r="L36" s="119">
        <f>K36*1200</f>
        <v>6000</v>
      </c>
      <c r="M36" s="54"/>
      <c r="N36" s="54"/>
      <c r="O36" s="54">
        <v>5</v>
      </c>
      <c r="P36" s="119">
        <f>O36*1200</f>
        <v>6000</v>
      </c>
      <c r="Q36" s="54"/>
      <c r="R36" s="180"/>
    </row>
    <row r="37" spans="1:18" s="38" customFormat="1" ht="15" x14ac:dyDescent="0.25">
      <c r="A37" s="25"/>
      <c r="B37" s="48" t="s">
        <v>44</v>
      </c>
      <c r="C37" s="64">
        <f t="shared" si="8"/>
        <v>4</v>
      </c>
      <c r="D37" s="64">
        <f t="shared" si="8"/>
        <v>8000</v>
      </c>
      <c r="E37" s="64">
        <f t="shared" si="8"/>
        <v>0</v>
      </c>
      <c r="F37" s="64">
        <f t="shared" si="8"/>
        <v>0</v>
      </c>
      <c r="G37" s="47">
        <v>2</v>
      </c>
      <c r="H37" s="119">
        <f>G37*2000</f>
        <v>4000</v>
      </c>
      <c r="I37" s="54"/>
      <c r="J37" s="54"/>
      <c r="K37" s="54"/>
      <c r="L37" s="119">
        <f>K37*2000</f>
        <v>0</v>
      </c>
      <c r="M37" s="54"/>
      <c r="N37" s="54"/>
      <c r="O37" s="54">
        <v>2</v>
      </c>
      <c r="P37" s="119">
        <f>O37*2000</f>
        <v>4000</v>
      </c>
      <c r="Q37" s="54"/>
      <c r="R37" s="180"/>
    </row>
    <row r="38" spans="1:18" s="38" customFormat="1" ht="15" x14ac:dyDescent="0.25">
      <c r="A38" s="25"/>
      <c r="B38" s="48" t="s">
        <v>45</v>
      </c>
      <c r="C38" s="64">
        <f t="shared" si="8"/>
        <v>2</v>
      </c>
      <c r="D38" s="64">
        <f t="shared" si="8"/>
        <v>15000</v>
      </c>
      <c r="E38" s="64">
        <f t="shared" si="8"/>
        <v>0</v>
      </c>
      <c r="F38" s="64">
        <f t="shared" si="8"/>
        <v>0</v>
      </c>
      <c r="G38" s="47"/>
      <c r="H38" s="119">
        <f>G38*7500</f>
        <v>0</v>
      </c>
      <c r="I38" s="54"/>
      <c r="J38" s="54"/>
      <c r="K38" s="54"/>
      <c r="L38" s="119">
        <f>K38*7500</f>
        <v>0</v>
      </c>
      <c r="M38" s="54"/>
      <c r="N38" s="54"/>
      <c r="O38" s="54">
        <v>2</v>
      </c>
      <c r="P38" s="119">
        <f>O38*7500</f>
        <v>15000</v>
      </c>
      <c r="Q38" s="54"/>
      <c r="R38" s="180"/>
    </row>
    <row r="39" spans="1:18" s="38" customFormat="1" x14ac:dyDescent="0.2">
      <c r="A39" s="25"/>
      <c r="B39" s="48" t="s">
        <v>46</v>
      </c>
      <c r="C39" s="64">
        <f t="shared" si="8"/>
        <v>0</v>
      </c>
      <c r="D39" s="64">
        <f t="shared" si="8"/>
        <v>0</v>
      </c>
      <c r="E39" s="64">
        <f t="shared" si="8"/>
        <v>0</v>
      </c>
      <c r="F39" s="64">
        <f t="shared" si="8"/>
        <v>0</v>
      </c>
      <c r="G39" s="54"/>
      <c r="H39" s="119">
        <f>G39*9000</f>
        <v>0</v>
      </c>
      <c r="I39" s="54"/>
      <c r="J39" s="54"/>
      <c r="K39" s="54"/>
      <c r="L39" s="119">
        <f>K39*9000</f>
        <v>0</v>
      </c>
      <c r="M39" s="54"/>
      <c r="N39" s="54"/>
      <c r="O39" s="54"/>
      <c r="P39" s="119">
        <f>O39*9000</f>
        <v>0</v>
      </c>
      <c r="Q39" s="54"/>
      <c r="R39" s="180"/>
    </row>
    <row r="40" spans="1:18" s="38" customFormat="1" x14ac:dyDescent="0.2">
      <c r="A40" s="25"/>
      <c r="B40" s="209" t="s">
        <v>47</v>
      </c>
      <c r="C40" s="64">
        <f t="shared" si="8"/>
        <v>4</v>
      </c>
      <c r="D40" s="64">
        <f t="shared" si="8"/>
        <v>6000</v>
      </c>
      <c r="E40" s="64">
        <f t="shared" si="8"/>
        <v>0</v>
      </c>
      <c r="F40" s="64">
        <f t="shared" si="8"/>
        <v>0</v>
      </c>
      <c r="G40" s="54">
        <v>4</v>
      </c>
      <c r="H40" s="119">
        <f>1500*G40</f>
        <v>6000</v>
      </c>
      <c r="I40" s="54"/>
      <c r="J40" s="54"/>
      <c r="K40" s="54"/>
      <c r="L40" s="119"/>
      <c r="M40" s="54"/>
      <c r="N40" s="54"/>
      <c r="O40" s="54"/>
      <c r="P40" s="119"/>
      <c r="Q40" s="54"/>
      <c r="R40" s="180"/>
    </row>
    <row r="41" spans="1:18" s="38" customFormat="1" x14ac:dyDescent="0.2">
      <c r="A41" s="25"/>
      <c r="B41" s="209" t="s">
        <v>48</v>
      </c>
      <c r="C41" s="64">
        <f t="shared" si="8"/>
        <v>16</v>
      </c>
      <c r="D41" s="64">
        <f t="shared" si="8"/>
        <v>12800</v>
      </c>
      <c r="E41" s="64">
        <f t="shared" si="8"/>
        <v>0</v>
      </c>
      <c r="F41" s="64">
        <f t="shared" si="8"/>
        <v>0</v>
      </c>
      <c r="G41" s="54">
        <v>16</v>
      </c>
      <c r="H41" s="119">
        <f>800*G41</f>
        <v>12800</v>
      </c>
      <c r="I41" s="54"/>
      <c r="J41" s="54"/>
      <c r="K41" s="54"/>
      <c r="L41" s="119"/>
      <c r="M41" s="54"/>
      <c r="N41" s="54"/>
      <c r="O41" s="54"/>
      <c r="P41" s="119"/>
      <c r="Q41" s="54"/>
      <c r="R41" s="180"/>
    </row>
    <row r="42" spans="1:18" s="38" customFormat="1" x14ac:dyDescent="0.2">
      <c r="A42" s="25"/>
      <c r="B42" s="48" t="s">
        <v>49</v>
      </c>
      <c r="C42" s="64">
        <f t="shared" si="8"/>
        <v>0</v>
      </c>
      <c r="D42" s="64">
        <f t="shared" si="8"/>
        <v>0</v>
      </c>
      <c r="E42" s="64">
        <f t="shared" si="8"/>
        <v>0</v>
      </c>
      <c r="F42" s="64">
        <f t="shared" si="8"/>
        <v>0</v>
      </c>
      <c r="G42" s="54"/>
      <c r="H42" s="119"/>
      <c r="I42" s="54"/>
      <c r="J42" s="54"/>
      <c r="K42" s="54"/>
      <c r="L42" s="119"/>
      <c r="M42" s="54"/>
      <c r="N42" s="54"/>
      <c r="O42" s="54"/>
      <c r="P42" s="119"/>
      <c r="Q42" s="54"/>
      <c r="R42" s="180"/>
    </row>
    <row r="43" spans="1:18" s="38" customFormat="1" x14ac:dyDescent="0.2">
      <c r="A43" s="25"/>
      <c r="B43" s="48" t="s">
        <v>50</v>
      </c>
      <c r="C43" s="64">
        <f t="shared" si="8"/>
        <v>8</v>
      </c>
      <c r="D43" s="64">
        <f t="shared" si="8"/>
        <v>24000</v>
      </c>
      <c r="E43" s="64">
        <f t="shared" si="8"/>
        <v>0</v>
      </c>
      <c r="F43" s="64">
        <f t="shared" si="8"/>
        <v>0</v>
      </c>
      <c r="G43" s="54">
        <v>4</v>
      </c>
      <c r="H43" s="119">
        <f>G43*3000</f>
        <v>12000</v>
      </c>
      <c r="I43" s="54"/>
      <c r="J43" s="54"/>
      <c r="K43" s="54">
        <v>2</v>
      </c>
      <c r="L43" s="119">
        <f>K43*3000</f>
        <v>6000</v>
      </c>
      <c r="M43" s="54"/>
      <c r="N43" s="54"/>
      <c r="O43" s="54">
        <v>2</v>
      </c>
      <c r="P43" s="119">
        <f>O43*3000</f>
        <v>6000</v>
      </c>
      <c r="Q43" s="54"/>
      <c r="R43" s="180"/>
    </row>
    <row r="44" spans="1:18" s="38" customFormat="1" x14ac:dyDescent="0.2">
      <c r="A44" s="25"/>
      <c r="B44" s="48" t="s">
        <v>51</v>
      </c>
      <c r="C44" s="64">
        <f t="shared" si="8"/>
        <v>3</v>
      </c>
      <c r="D44" s="64">
        <f t="shared" si="8"/>
        <v>12000</v>
      </c>
      <c r="E44" s="64">
        <f t="shared" si="8"/>
        <v>0</v>
      </c>
      <c r="F44" s="64">
        <f t="shared" si="8"/>
        <v>0</v>
      </c>
      <c r="G44" s="54"/>
      <c r="H44" s="119">
        <f>G44*4000</f>
        <v>0</v>
      </c>
      <c r="I44" s="54"/>
      <c r="J44" s="54"/>
      <c r="K44" s="54">
        <v>2</v>
      </c>
      <c r="L44" s="119">
        <f>K44*4000</f>
        <v>8000</v>
      </c>
      <c r="M44" s="54"/>
      <c r="N44" s="54"/>
      <c r="O44" s="54">
        <v>1</v>
      </c>
      <c r="P44" s="119">
        <f>O44*4000</f>
        <v>4000</v>
      </c>
      <c r="Q44" s="54"/>
      <c r="R44" s="180"/>
    </row>
    <row r="45" spans="1:18" s="38" customFormat="1" ht="15" x14ac:dyDescent="0.25">
      <c r="A45" s="25"/>
      <c r="B45" s="48" t="s">
        <v>52</v>
      </c>
      <c r="C45" s="64">
        <f t="shared" si="8"/>
        <v>19</v>
      </c>
      <c r="D45" s="64">
        <f t="shared" si="8"/>
        <v>57000</v>
      </c>
      <c r="E45" s="64">
        <f t="shared" si="8"/>
        <v>0</v>
      </c>
      <c r="F45" s="64">
        <f t="shared" si="8"/>
        <v>0</v>
      </c>
      <c r="G45" s="47">
        <v>10</v>
      </c>
      <c r="H45" s="119">
        <f>G45*3000</f>
        <v>30000</v>
      </c>
      <c r="I45" s="54"/>
      <c r="J45" s="54"/>
      <c r="K45" s="47">
        <v>5</v>
      </c>
      <c r="L45" s="119">
        <f>K45*3000</f>
        <v>15000</v>
      </c>
      <c r="M45" s="54"/>
      <c r="N45" s="54"/>
      <c r="O45" s="47">
        <v>4</v>
      </c>
      <c r="P45" s="119">
        <f>O45*3000</f>
        <v>12000</v>
      </c>
      <c r="Q45" s="54"/>
      <c r="R45" s="180"/>
    </row>
    <row r="46" spans="1:18" s="38" customFormat="1" x14ac:dyDescent="0.2">
      <c r="A46" s="25"/>
      <c r="B46" s="209" t="s">
        <v>53</v>
      </c>
      <c r="C46" s="64">
        <f t="shared" si="8"/>
        <v>0</v>
      </c>
      <c r="D46" s="64">
        <f t="shared" si="8"/>
        <v>0</v>
      </c>
      <c r="E46" s="64">
        <f t="shared" si="8"/>
        <v>0</v>
      </c>
      <c r="F46" s="64">
        <f t="shared" si="8"/>
        <v>0</v>
      </c>
      <c r="G46" s="54"/>
      <c r="H46" s="119">
        <f>G46*3000</f>
        <v>0</v>
      </c>
      <c r="I46" s="54"/>
      <c r="J46" s="54"/>
      <c r="K46" s="54"/>
      <c r="L46" s="119">
        <f>K46*3000</f>
        <v>0</v>
      </c>
      <c r="M46" s="54"/>
      <c r="N46" s="54"/>
      <c r="O46" s="54"/>
      <c r="P46" s="119">
        <f>O46*3000</f>
        <v>0</v>
      </c>
      <c r="Q46" s="54"/>
      <c r="R46" s="180"/>
    </row>
    <row r="47" spans="1:18" s="38" customFormat="1" ht="15.75" thickBot="1" x14ac:dyDescent="0.3">
      <c r="A47" s="187"/>
      <c r="B47" s="188" t="s">
        <v>54</v>
      </c>
      <c r="C47" s="241">
        <f t="shared" si="8"/>
        <v>8</v>
      </c>
      <c r="D47" s="241">
        <f t="shared" si="8"/>
        <v>36000</v>
      </c>
      <c r="E47" s="241">
        <f t="shared" si="8"/>
        <v>0</v>
      </c>
      <c r="F47" s="241">
        <f t="shared" si="8"/>
        <v>0</v>
      </c>
      <c r="G47" s="120">
        <v>5</v>
      </c>
      <c r="H47" s="189">
        <f>G47*4500</f>
        <v>22500</v>
      </c>
      <c r="I47" s="202"/>
      <c r="J47" s="202"/>
      <c r="K47" s="120">
        <v>3</v>
      </c>
      <c r="L47" s="189">
        <f>K47*4500</f>
        <v>13500</v>
      </c>
      <c r="M47" s="202"/>
      <c r="N47" s="202"/>
      <c r="O47" s="202"/>
      <c r="P47" s="189">
        <f>O47*4500</f>
        <v>0</v>
      </c>
      <c r="Q47" s="202"/>
      <c r="R47" s="191"/>
    </row>
    <row r="48" spans="1:18" ht="13.5" thickBot="1" x14ac:dyDescent="0.25">
      <c r="A48" s="171"/>
      <c r="B48" s="172" t="s">
        <v>154</v>
      </c>
      <c r="C48" s="173">
        <f>SUM(C14:C47)</f>
        <v>224</v>
      </c>
      <c r="D48" s="173">
        <f t="shared" ref="D48:R48" si="9">SUM(D14:D47)</f>
        <v>577300</v>
      </c>
      <c r="E48" s="173">
        <f t="shared" si="9"/>
        <v>0</v>
      </c>
      <c r="F48" s="173">
        <f t="shared" si="9"/>
        <v>0</v>
      </c>
      <c r="G48" s="173">
        <f t="shared" si="9"/>
        <v>108</v>
      </c>
      <c r="H48" s="173">
        <f t="shared" si="9"/>
        <v>248800</v>
      </c>
      <c r="I48" s="173">
        <f t="shared" si="9"/>
        <v>0</v>
      </c>
      <c r="J48" s="173">
        <f t="shared" si="9"/>
        <v>0</v>
      </c>
      <c r="K48" s="173">
        <f t="shared" si="9"/>
        <v>60</v>
      </c>
      <c r="L48" s="173">
        <f t="shared" si="9"/>
        <v>170000</v>
      </c>
      <c r="M48" s="173">
        <f t="shared" si="9"/>
        <v>0</v>
      </c>
      <c r="N48" s="173">
        <f t="shared" si="9"/>
        <v>0</v>
      </c>
      <c r="O48" s="173">
        <f t="shared" si="9"/>
        <v>56</v>
      </c>
      <c r="P48" s="173">
        <f t="shared" si="9"/>
        <v>158500</v>
      </c>
      <c r="Q48" s="173">
        <f t="shared" si="9"/>
        <v>0</v>
      </c>
      <c r="R48" s="173">
        <f t="shared" si="9"/>
        <v>0</v>
      </c>
    </row>
    <row r="49" spans="1:18" s="38" customFormat="1" x14ac:dyDescent="0.2">
      <c r="A49" s="175" t="s">
        <v>6</v>
      </c>
      <c r="B49" s="194" t="s">
        <v>61</v>
      </c>
      <c r="C49" s="213"/>
      <c r="D49" s="213"/>
      <c r="E49" s="213"/>
      <c r="F49" s="213"/>
      <c r="G49" s="177"/>
      <c r="H49" s="178"/>
      <c r="I49" s="177"/>
      <c r="J49" s="177"/>
      <c r="K49" s="177"/>
      <c r="L49" s="178"/>
      <c r="M49" s="177"/>
      <c r="N49" s="177"/>
      <c r="O49" s="177"/>
      <c r="P49" s="178"/>
      <c r="Q49" s="177"/>
      <c r="R49" s="179"/>
    </row>
    <row r="50" spans="1:18" s="38" customFormat="1" ht="15" x14ac:dyDescent="0.25">
      <c r="A50" s="25"/>
      <c r="B50" s="48" t="s">
        <v>64</v>
      </c>
      <c r="C50" s="64">
        <f t="shared" ref="C50:F56" si="10">G50+K50+O50</f>
        <v>16</v>
      </c>
      <c r="D50" s="64">
        <f t="shared" si="10"/>
        <v>128000</v>
      </c>
      <c r="E50" s="64">
        <f t="shared" si="10"/>
        <v>0</v>
      </c>
      <c r="F50" s="64">
        <f t="shared" si="10"/>
        <v>0</v>
      </c>
      <c r="G50" s="47">
        <v>6</v>
      </c>
      <c r="H50" s="119">
        <f>G50*8000</f>
        <v>48000</v>
      </c>
      <c r="I50" s="54"/>
      <c r="J50" s="54"/>
      <c r="K50" s="47">
        <v>6</v>
      </c>
      <c r="L50" s="119">
        <f>K50*8000</f>
        <v>48000</v>
      </c>
      <c r="M50" s="54"/>
      <c r="N50" s="54"/>
      <c r="O50" s="47">
        <v>4</v>
      </c>
      <c r="P50" s="119">
        <f>O50*8000</f>
        <v>32000</v>
      </c>
      <c r="Q50" s="54"/>
      <c r="R50" s="180"/>
    </row>
    <row r="51" spans="1:18" s="38" customFormat="1" ht="15" x14ac:dyDescent="0.25">
      <c r="A51" s="25"/>
      <c r="B51" s="48" t="s">
        <v>65</v>
      </c>
      <c r="C51" s="64">
        <f t="shared" si="10"/>
        <v>6</v>
      </c>
      <c r="D51" s="64">
        <f t="shared" si="10"/>
        <v>108000</v>
      </c>
      <c r="E51" s="64">
        <f t="shared" si="10"/>
        <v>0</v>
      </c>
      <c r="F51" s="64">
        <f t="shared" si="10"/>
        <v>0</v>
      </c>
      <c r="G51" s="47">
        <v>2</v>
      </c>
      <c r="H51" s="119">
        <f>G51*18000</f>
        <v>36000</v>
      </c>
      <c r="I51" s="54"/>
      <c r="J51" s="54"/>
      <c r="K51" s="54">
        <v>2</v>
      </c>
      <c r="L51" s="119">
        <f>K51*18000</f>
        <v>36000</v>
      </c>
      <c r="M51" s="54"/>
      <c r="N51" s="54"/>
      <c r="O51" s="54">
        <v>2</v>
      </c>
      <c r="P51" s="119">
        <f>O51*18000</f>
        <v>36000</v>
      </c>
      <c r="Q51" s="54"/>
      <c r="R51" s="180"/>
    </row>
    <row r="52" spans="1:18" s="38" customFormat="1" ht="15" x14ac:dyDescent="0.25">
      <c r="A52" s="25"/>
      <c r="B52" s="193" t="s">
        <v>66</v>
      </c>
      <c r="C52" s="64">
        <f t="shared" si="10"/>
        <v>4</v>
      </c>
      <c r="D52" s="64">
        <f t="shared" si="10"/>
        <v>12000</v>
      </c>
      <c r="E52" s="64">
        <f t="shared" si="10"/>
        <v>0</v>
      </c>
      <c r="F52" s="64">
        <f t="shared" si="10"/>
        <v>0</v>
      </c>
      <c r="G52" s="47">
        <v>2</v>
      </c>
      <c r="H52" s="119">
        <f>G52*3000</f>
        <v>6000</v>
      </c>
      <c r="I52" s="54"/>
      <c r="J52" s="54"/>
      <c r="K52" s="47">
        <v>1</v>
      </c>
      <c r="L52" s="119">
        <f>K52*3000</f>
        <v>3000</v>
      </c>
      <c r="M52" s="54"/>
      <c r="N52" s="54"/>
      <c r="O52" s="54">
        <v>1</v>
      </c>
      <c r="P52" s="119">
        <f>O52*3000</f>
        <v>3000</v>
      </c>
      <c r="Q52" s="54"/>
      <c r="R52" s="180"/>
    </row>
    <row r="53" spans="1:18" s="38" customFormat="1" ht="15" x14ac:dyDescent="0.25">
      <c r="A53" s="25"/>
      <c r="B53" s="48" t="s">
        <v>67</v>
      </c>
      <c r="C53" s="64">
        <f t="shared" si="10"/>
        <v>4</v>
      </c>
      <c r="D53" s="64">
        <f t="shared" si="10"/>
        <v>24000</v>
      </c>
      <c r="E53" s="64">
        <f t="shared" si="10"/>
        <v>0</v>
      </c>
      <c r="F53" s="64">
        <f t="shared" si="10"/>
        <v>0</v>
      </c>
      <c r="G53" s="47">
        <v>1</v>
      </c>
      <c r="H53" s="119">
        <f>G53*6000</f>
        <v>6000</v>
      </c>
      <c r="I53" s="54"/>
      <c r="J53" s="54"/>
      <c r="K53" s="54">
        <v>1</v>
      </c>
      <c r="L53" s="119">
        <f>K53*6000</f>
        <v>6000</v>
      </c>
      <c r="M53" s="54"/>
      <c r="N53" s="54"/>
      <c r="O53" s="47">
        <v>2</v>
      </c>
      <c r="P53" s="119">
        <f>O53*6000</f>
        <v>12000</v>
      </c>
      <c r="Q53" s="54"/>
      <c r="R53" s="180"/>
    </row>
    <row r="54" spans="1:18" s="38" customFormat="1" x14ac:dyDescent="0.2">
      <c r="A54" s="25"/>
      <c r="B54" s="48" t="s">
        <v>68</v>
      </c>
      <c r="C54" s="64">
        <f t="shared" si="10"/>
        <v>1</v>
      </c>
      <c r="D54" s="64">
        <f t="shared" si="10"/>
        <v>8000</v>
      </c>
      <c r="E54" s="64">
        <f t="shared" si="10"/>
        <v>0</v>
      </c>
      <c r="F54" s="64">
        <f t="shared" si="10"/>
        <v>0</v>
      </c>
      <c r="G54" s="54">
        <v>1</v>
      </c>
      <c r="H54" s="119">
        <f>G54*8000</f>
        <v>8000</v>
      </c>
      <c r="I54" s="54"/>
      <c r="J54" s="54"/>
      <c r="K54" s="54"/>
      <c r="L54" s="119"/>
      <c r="M54" s="54"/>
      <c r="N54" s="54"/>
      <c r="O54" s="54"/>
      <c r="P54" s="119"/>
      <c r="Q54" s="54"/>
      <c r="R54" s="180"/>
    </row>
    <row r="55" spans="1:18" s="38" customFormat="1" x14ac:dyDescent="0.2">
      <c r="A55" s="143"/>
      <c r="B55" s="48" t="s">
        <v>69</v>
      </c>
      <c r="C55" s="64">
        <f t="shared" si="10"/>
        <v>0</v>
      </c>
      <c r="D55" s="64">
        <f t="shared" si="10"/>
        <v>0</v>
      </c>
      <c r="E55" s="64">
        <f t="shared" si="10"/>
        <v>0</v>
      </c>
      <c r="F55" s="64">
        <f t="shared" si="10"/>
        <v>0</v>
      </c>
      <c r="G55" s="54"/>
      <c r="H55" s="119">
        <f>G55*5000</f>
        <v>0</v>
      </c>
      <c r="I55" s="54"/>
      <c r="J55" s="54"/>
      <c r="K55" s="54"/>
      <c r="L55" s="119">
        <f>K55*5000</f>
        <v>0</v>
      </c>
      <c r="M55" s="54"/>
      <c r="N55" s="54"/>
      <c r="O55" s="54"/>
      <c r="P55" s="119">
        <f>O55*5000</f>
        <v>0</v>
      </c>
      <c r="Q55" s="54"/>
      <c r="R55" s="180"/>
    </row>
    <row r="56" spans="1:18" s="38" customFormat="1" x14ac:dyDescent="0.2">
      <c r="A56" s="143"/>
      <c r="B56" s="48" t="s">
        <v>70</v>
      </c>
      <c r="C56" s="64">
        <f t="shared" si="10"/>
        <v>0</v>
      </c>
      <c r="D56" s="64">
        <f t="shared" si="10"/>
        <v>0</v>
      </c>
      <c r="E56" s="64">
        <f t="shared" si="10"/>
        <v>0</v>
      </c>
      <c r="F56" s="64">
        <f t="shared" si="10"/>
        <v>0</v>
      </c>
      <c r="G56" s="54"/>
      <c r="H56" s="119"/>
      <c r="I56" s="54"/>
      <c r="J56" s="54"/>
      <c r="K56" s="54"/>
      <c r="L56" s="119"/>
      <c r="M56" s="54"/>
      <c r="N56" s="54"/>
      <c r="O56" s="54"/>
      <c r="P56" s="119"/>
      <c r="Q56" s="54"/>
      <c r="R56" s="180"/>
    </row>
    <row r="57" spans="1:18" s="38" customFormat="1" ht="15" x14ac:dyDescent="0.25">
      <c r="A57" s="143"/>
      <c r="B57" s="48" t="s">
        <v>71</v>
      </c>
      <c r="C57" s="64">
        <f t="shared" ref="C57:F59" si="11">G57+K57+O57</f>
        <v>3</v>
      </c>
      <c r="D57" s="64">
        <f t="shared" si="11"/>
        <v>30000</v>
      </c>
      <c r="E57" s="64">
        <f t="shared" si="11"/>
        <v>0</v>
      </c>
      <c r="F57" s="64">
        <f t="shared" si="11"/>
        <v>0</v>
      </c>
      <c r="G57" s="47">
        <v>1</v>
      </c>
      <c r="H57" s="119">
        <f>G57*10000</f>
        <v>10000</v>
      </c>
      <c r="I57" s="54"/>
      <c r="J57" s="54"/>
      <c r="K57" s="54">
        <v>1</v>
      </c>
      <c r="L57" s="119">
        <f>K57*10000</f>
        <v>10000</v>
      </c>
      <c r="M57" s="54"/>
      <c r="N57" s="54"/>
      <c r="O57" s="54">
        <v>1</v>
      </c>
      <c r="P57" s="119">
        <f>O57*10000</f>
        <v>10000</v>
      </c>
      <c r="Q57" s="54"/>
      <c r="R57" s="180"/>
    </row>
    <row r="58" spans="1:18" s="38" customFormat="1" ht="15.75" thickBot="1" x14ac:dyDescent="0.3">
      <c r="A58" s="195"/>
      <c r="B58" s="182" t="s">
        <v>72</v>
      </c>
      <c r="C58" s="239">
        <f t="shared" si="11"/>
        <v>1</v>
      </c>
      <c r="D58" s="239">
        <f t="shared" si="11"/>
        <v>2000</v>
      </c>
      <c r="E58" s="239">
        <f t="shared" si="11"/>
        <v>0</v>
      </c>
      <c r="F58" s="239">
        <f t="shared" si="11"/>
        <v>0</v>
      </c>
      <c r="G58" s="183">
        <v>1</v>
      </c>
      <c r="H58" s="184">
        <f>G58*2000</f>
        <v>2000</v>
      </c>
      <c r="I58" s="200"/>
      <c r="J58" s="200"/>
      <c r="K58" s="200"/>
      <c r="L58" s="184"/>
      <c r="M58" s="200"/>
      <c r="N58" s="200"/>
      <c r="O58" s="200"/>
      <c r="P58" s="184"/>
      <c r="Q58" s="200"/>
      <c r="R58" s="186"/>
    </row>
    <row r="59" spans="1:18" s="38" customFormat="1" ht="15.75" thickBot="1" x14ac:dyDescent="0.3">
      <c r="A59" s="311"/>
      <c r="B59" s="312" t="s">
        <v>73</v>
      </c>
      <c r="C59" s="239">
        <f>G59+K59+O59</f>
        <v>2</v>
      </c>
      <c r="D59" s="239">
        <f t="shared" si="11"/>
        <v>489000</v>
      </c>
      <c r="E59" s="239">
        <f t="shared" si="11"/>
        <v>0</v>
      </c>
      <c r="F59" s="239">
        <f t="shared" si="11"/>
        <v>0</v>
      </c>
      <c r="G59" s="316"/>
      <c r="H59" s="314"/>
      <c r="I59" s="313"/>
      <c r="J59" s="313"/>
      <c r="K59" s="313">
        <v>1</v>
      </c>
      <c r="L59" s="314">
        <f>240000+34500</f>
        <v>274500</v>
      </c>
      <c r="M59" s="313"/>
      <c r="N59" s="313"/>
      <c r="O59" s="313">
        <v>1</v>
      </c>
      <c r="P59" s="314">
        <f>180000+34500</f>
        <v>214500</v>
      </c>
      <c r="Q59" s="313"/>
      <c r="R59" s="309"/>
    </row>
    <row r="60" spans="1:18" ht="13.5" thickBot="1" x14ac:dyDescent="0.25">
      <c r="A60" s="232"/>
      <c r="B60" s="255" t="s">
        <v>156</v>
      </c>
      <c r="C60" s="256">
        <f t="shared" ref="C60:H60" si="12">SUM(C50:C59)</f>
        <v>37</v>
      </c>
      <c r="D60" s="256">
        <f t="shared" si="12"/>
        <v>801000</v>
      </c>
      <c r="E60" s="256">
        <f t="shared" si="12"/>
        <v>0</v>
      </c>
      <c r="F60" s="256">
        <f t="shared" si="12"/>
        <v>0</v>
      </c>
      <c r="G60" s="256">
        <f t="shared" si="12"/>
        <v>14</v>
      </c>
      <c r="H60" s="256">
        <f t="shared" si="12"/>
        <v>116000</v>
      </c>
      <c r="I60" s="256">
        <f>SUM(I50:I58)</f>
        <v>0</v>
      </c>
      <c r="J60" s="256">
        <f>SUM(J50:J58)</f>
        <v>0</v>
      </c>
      <c r="K60" s="256">
        <f>SUM(K50:K58)</f>
        <v>11</v>
      </c>
      <c r="L60" s="256">
        <f>SUM(L50:L59)</f>
        <v>377500</v>
      </c>
      <c r="M60" s="256">
        <f>SUM(M50:M58)</f>
        <v>0</v>
      </c>
      <c r="N60" s="256">
        <f>SUM(N50:N58)</f>
        <v>0</v>
      </c>
      <c r="O60" s="256">
        <f>SUM(O50:O58)</f>
        <v>10</v>
      </c>
      <c r="P60" s="256">
        <f>SUM(P50:P59)</f>
        <v>307500</v>
      </c>
      <c r="Q60" s="256">
        <f>SUM(Q50:Q58)</f>
        <v>0</v>
      </c>
      <c r="R60" s="256">
        <f>SUM(R50:R58)</f>
        <v>0</v>
      </c>
    </row>
    <row r="61" spans="1:18" s="38" customFormat="1" x14ac:dyDescent="0.2">
      <c r="A61" s="175" t="s">
        <v>7</v>
      </c>
      <c r="B61" s="176" t="s">
        <v>74</v>
      </c>
      <c r="C61" s="213"/>
      <c r="D61" s="213"/>
      <c r="E61" s="213"/>
      <c r="F61" s="213"/>
      <c r="G61" s="177"/>
      <c r="H61" s="178"/>
      <c r="I61" s="177"/>
      <c r="J61" s="177"/>
      <c r="K61" s="177"/>
      <c r="L61" s="178"/>
      <c r="M61" s="177"/>
      <c r="N61" s="177"/>
      <c r="O61" s="177"/>
      <c r="P61" s="178"/>
      <c r="Q61" s="177"/>
      <c r="R61" s="179"/>
    </row>
    <row r="62" spans="1:18" s="38" customFormat="1" ht="15" x14ac:dyDescent="0.25">
      <c r="A62" s="25"/>
      <c r="B62" s="135" t="s">
        <v>75</v>
      </c>
      <c r="C62" s="64">
        <f t="shared" ref="C62:F68" si="13">G62+K62+O62</f>
        <v>0</v>
      </c>
      <c r="D62" s="64">
        <f t="shared" si="13"/>
        <v>0</v>
      </c>
      <c r="E62" s="64">
        <f t="shared" si="13"/>
        <v>0</v>
      </c>
      <c r="F62" s="64">
        <f t="shared" si="13"/>
        <v>0</v>
      </c>
      <c r="G62" s="47"/>
      <c r="H62" s="119"/>
      <c r="I62" s="54"/>
      <c r="J62" s="54"/>
      <c r="K62" s="54"/>
      <c r="L62" s="119"/>
      <c r="M62" s="54"/>
      <c r="N62" s="54"/>
      <c r="O62" s="54"/>
      <c r="P62" s="119"/>
      <c r="Q62" s="54"/>
      <c r="R62" s="180"/>
    </row>
    <row r="63" spans="1:18" s="38" customFormat="1" x14ac:dyDescent="0.2">
      <c r="A63" s="25"/>
      <c r="B63" s="135" t="s">
        <v>76</v>
      </c>
      <c r="C63" s="64">
        <f t="shared" si="13"/>
        <v>1</v>
      </c>
      <c r="D63" s="64">
        <f t="shared" si="13"/>
        <v>15000</v>
      </c>
      <c r="E63" s="64">
        <f t="shared" si="13"/>
        <v>0</v>
      </c>
      <c r="F63" s="64">
        <f t="shared" si="13"/>
        <v>0</v>
      </c>
      <c r="G63" s="54"/>
      <c r="H63" s="119"/>
      <c r="I63" s="54"/>
      <c r="J63" s="54"/>
      <c r="K63" s="54">
        <v>1</v>
      </c>
      <c r="L63" s="119">
        <v>15000</v>
      </c>
      <c r="M63" s="54"/>
      <c r="N63" s="54"/>
      <c r="O63" s="54"/>
      <c r="P63" s="119"/>
      <c r="Q63" s="54"/>
      <c r="R63" s="180"/>
    </row>
    <row r="64" spans="1:18" s="38" customFormat="1" x14ac:dyDescent="0.2">
      <c r="A64" s="25"/>
      <c r="B64" s="135" t="s">
        <v>77</v>
      </c>
      <c r="C64" s="64">
        <f t="shared" si="13"/>
        <v>9</v>
      </c>
      <c r="D64" s="64">
        <f t="shared" si="13"/>
        <v>27000</v>
      </c>
      <c r="E64" s="64">
        <f t="shared" si="13"/>
        <v>0</v>
      </c>
      <c r="F64" s="64">
        <f t="shared" si="13"/>
        <v>0</v>
      </c>
      <c r="G64" s="54">
        <v>3</v>
      </c>
      <c r="H64" s="119">
        <f>G64*3000</f>
        <v>9000</v>
      </c>
      <c r="I64" s="54"/>
      <c r="J64" s="54"/>
      <c r="K64" s="54">
        <v>3</v>
      </c>
      <c r="L64" s="119">
        <f>K64*3000</f>
        <v>9000</v>
      </c>
      <c r="M64" s="54"/>
      <c r="N64" s="54"/>
      <c r="O64" s="54">
        <v>3</v>
      </c>
      <c r="P64" s="119">
        <f>O64*3000</f>
        <v>9000</v>
      </c>
      <c r="Q64" s="54"/>
      <c r="R64" s="180"/>
    </row>
    <row r="65" spans="1:18" s="38" customFormat="1" x14ac:dyDescent="0.2">
      <c r="A65" s="25"/>
      <c r="B65" s="135" t="s">
        <v>78</v>
      </c>
      <c r="C65" s="64">
        <f t="shared" si="13"/>
        <v>4</v>
      </c>
      <c r="D65" s="64">
        <f t="shared" si="13"/>
        <v>10000</v>
      </c>
      <c r="E65" s="64">
        <f t="shared" si="13"/>
        <v>0</v>
      </c>
      <c r="F65" s="64">
        <f t="shared" si="13"/>
        <v>0</v>
      </c>
      <c r="G65" s="54">
        <v>2</v>
      </c>
      <c r="H65" s="119">
        <f>G65*2500</f>
        <v>5000</v>
      </c>
      <c r="I65" s="54"/>
      <c r="J65" s="54"/>
      <c r="K65" s="54">
        <v>1</v>
      </c>
      <c r="L65" s="119">
        <f>K65*2500</f>
        <v>2500</v>
      </c>
      <c r="M65" s="54"/>
      <c r="N65" s="54"/>
      <c r="O65" s="54">
        <v>1</v>
      </c>
      <c r="P65" s="119">
        <f>O65*2500</f>
        <v>2500</v>
      </c>
      <c r="Q65" s="54"/>
      <c r="R65" s="180"/>
    </row>
    <row r="66" spans="1:18" s="38" customFormat="1" ht="15" x14ac:dyDescent="0.25">
      <c r="A66" s="25"/>
      <c r="B66" s="135" t="s">
        <v>79</v>
      </c>
      <c r="C66" s="64">
        <f t="shared" si="13"/>
        <v>7</v>
      </c>
      <c r="D66" s="64">
        <f t="shared" si="13"/>
        <v>56000</v>
      </c>
      <c r="E66" s="64">
        <f t="shared" si="13"/>
        <v>0</v>
      </c>
      <c r="F66" s="64">
        <f t="shared" si="13"/>
        <v>0</v>
      </c>
      <c r="G66" s="47">
        <v>3</v>
      </c>
      <c r="H66" s="119">
        <f>G66*8000</f>
        <v>24000</v>
      </c>
      <c r="I66" s="54"/>
      <c r="J66" s="54"/>
      <c r="K66" s="54">
        <v>2</v>
      </c>
      <c r="L66" s="119">
        <f>K66*8000</f>
        <v>16000</v>
      </c>
      <c r="M66" s="54"/>
      <c r="N66" s="54"/>
      <c r="O66" s="54">
        <v>2</v>
      </c>
      <c r="P66" s="119">
        <f>O66*8000</f>
        <v>16000</v>
      </c>
      <c r="Q66" s="54"/>
      <c r="R66" s="180"/>
    </row>
    <row r="67" spans="1:18" s="38" customFormat="1" x14ac:dyDescent="0.2">
      <c r="A67" s="25"/>
      <c r="B67" s="135" t="s">
        <v>80</v>
      </c>
      <c r="C67" s="64">
        <f t="shared" si="13"/>
        <v>0</v>
      </c>
      <c r="D67" s="64">
        <f t="shared" si="13"/>
        <v>0</v>
      </c>
      <c r="E67" s="64">
        <f t="shared" si="13"/>
        <v>0</v>
      </c>
      <c r="F67" s="64">
        <f t="shared" si="13"/>
        <v>0</v>
      </c>
      <c r="G67" s="54"/>
      <c r="H67" s="119"/>
      <c r="I67" s="54"/>
      <c r="J67" s="54"/>
      <c r="K67" s="54"/>
      <c r="L67" s="119"/>
      <c r="M67" s="54"/>
      <c r="N67" s="54"/>
      <c r="O67" s="54"/>
      <c r="P67" s="119"/>
      <c r="Q67" s="54"/>
      <c r="R67" s="180"/>
    </row>
    <row r="68" spans="1:18" s="38" customFormat="1" x14ac:dyDescent="0.2">
      <c r="A68" s="25"/>
      <c r="B68" s="135" t="s">
        <v>81</v>
      </c>
      <c r="C68" s="64">
        <f t="shared" si="13"/>
        <v>0</v>
      </c>
      <c r="D68" s="64">
        <f t="shared" si="13"/>
        <v>0</v>
      </c>
      <c r="E68" s="64">
        <f t="shared" si="13"/>
        <v>0</v>
      </c>
      <c r="F68" s="64">
        <f t="shared" si="13"/>
        <v>0</v>
      </c>
      <c r="G68" s="54"/>
      <c r="H68" s="119"/>
      <c r="I68" s="54"/>
      <c r="J68" s="54"/>
      <c r="K68" s="54"/>
      <c r="L68" s="119"/>
      <c r="M68" s="54"/>
      <c r="N68" s="54"/>
      <c r="O68" s="54"/>
      <c r="P68" s="119"/>
      <c r="Q68" s="54"/>
      <c r="R68" s="180"/>
    </row>
    <row r="69" spans="1:18" s="38" customFormat="1" x14ac:dyDescent="0.2">
      <c r="A69" s="25"/>
      <c r="B69" s="135" t="s">
        <v>82</v>
      </c>
      <c r="C69" s="64">
        <f t="shared" ref="C69:F72" si="14">G69+K69+O69</f>
        <v>0</v>
      </c>
      <c r="D69" s="64">
        <f t="shared" si="14"/>
        <v>0</v>
      </c>
      <c r="E69" s="64">
        <f t="shared" si="14"/>
        <v>0</v>
      </c>
      <c r="F69" s="64">
        <f t="shared" si="14"/>
        <v>0</v>
      </c>
      <c r="G69" s="54"/>
      <c r="H69" s="119"/>
      <c r="I69" s="54"/>
      <c r="J69" s="54"/>
      <c r="K69" s="54"/>
      <c r="L69" s="119"/>
      <c r="M69" s="54"/>
      <c r="N69" s="54"/>
      <c r="O69" s="54"/>
      <c r="P69" s="119"/>
      <c r="Q69" s="54"/>
      <c r="R69" s="180"/>
    </row>
    <row r="70" spans="1:18" s="38" customFormat="1" ht="15" x14ac:dyDescent="0.25">
      <c r="A70" s="25"/>
      <c r="B70" s="135" t="s">
        <v>83</v>
      </c>
      <c r="C70" s="64">
        <f t="shared" si="14"/>
        <v>4</v>
      </c>
      <c r="D70" s="64">
        <f t="shared" si="14"/>
        <v>60000</v>
      </c>
      <c r="E70" s="64">
        <f t="shared" si="14"/>
        <v>0</v>
      </c>
      <c r="F70" s="64">
        <f t="shared" si="14"/>
        <v>0</v>
      </c>
      <c r="G70" s="54">
        <v>2</v>
      </c>
      <c r="H70" s="119">
        <f>G70*15000</f>
        <v>30000</v>
      </c>
      <c r="I70" s="54"/>
      <c r="J70" s="54"/>
      <c r="K70" s="47">
        <v>1</v>
      </c>
      <c r="L70" s="119">
        <f>K70*15000</f>
        <v>15000</v>
      </c>
      <c r="M70" s="54"/>
      <c r="N70" s="54"/>
      <c r="O70" s="54">
        <v>1</v>
      </c>
      <c r="P70" s="119">
        <f>O70*15000</f>
        <v>15000</v>
      </c>
      <c r="Q70" s="54"/>
      <c r="R70" s="180"/>
    </row>
    <row r="71" spans="1:18" s="38" customFormat="1" ht="15" x14ac:dyDescent="0.25">
      <c r="A71" s="25"/>
      <c r="B71" s="135" t="s">
        <v>84</v>
      </c>
      <c r="C71" s="64">
        <f t="shared" si="14"/>
        <v>4</v>
      </c>
      <c r="D71" s="64">
        <f t="shared" si="14"/>
        <v>8000</v>
      </c>
      <c r="E71" s="64">
        <f t="shared" si="14"/>
        <v>0</v>
      </c>
      <c r="F71" s="64">
        <f t="shared" si="14"/>
        <v>0</v>
      </c>
      <c r="G71" s="54">
        <v>1</v>
      </c>
      <c r="H71" s="119">
        <f>G71*2000</f>
        <v>2000</v>
      </c>
      <c r="I71" s="54"/>
      <c r="J71" s="54"/>
      <c r="K71" s="47">
        <v>1</v>
      </c>
      <c r="L71" s="119">
        <f>K71*2000</f>
        <v>2000</v>
      </c>
      <c r="M71" s="54"/>
      <c r="N71" s="54"/>
      <c r="O71" s="54">
        <v>2</v>
      </c>
      <c r="P71" s="119">
        <f>O71*2000</f>
        <v>4000</v>
      </c>
      <c r="Q71" s="54"/>
      <c r="R71" s="180"/>
    </row>
    <row r="72" spans="1:18" s="38" customFormat="1" ht="15.75" thickBot="1" x14ac:dyDescent="0.3">
      <c r="A72" s="181"/>
      <c r="B72" s="199" t="s">
        <v>85</v>
      </c>
      <c r="C72" s="239">
        <f t="shared" si="14"/>
        <v>6</v>
      </c>
      <c r="D72" s="239">
        <f t="shared" si="14"/>
        <v>12000</v>
      </c>
      <c r="E72" s="239">
        <f t="shared" si="14"/>
        <v>0</v>
      </c>
      <c r="F72" s="239">
        <f t="shared" si="14"/>
        <v>0</v>
      </c>
      <c r="G72" s="200">
        <v>1</v>
      </c>
      <c r="H72" s="184">
        <f>G72*2000</f>
        <v>2000</v>
      </c>
      <c r="I72" s="200"/>
      <c r="J72" s="200"/>
      <c r="K72" s="183">
        <v>1</v>
      </c>
      <c r="L72" s="184">
        <f>K72*2000</f>
        <v>2000</v>
      </c>
      <c r="M72" s="200"/>
      <c r="N72" s="200"/>
      <c r="O72" s="200">
        <v>4</v>
      </c>
      <c r="P72" s="184">
        <f>O72*2000</f>
        <v>8000</v>
      </c>
      <c r="Q72" s="200"/>
      <c r="R72" s="186"/>
    </row>
    <row r="73" spans="1:18" ht="13.5" thickBot="1" x14ac:dyDescent="0.25">
      <c r="A73" s="232"/>
      <c r="B73" s="233" t="s">
        <v>157</v>
      </c>
      <c r="C73" s="234">
        <f t="shared" ref="C73:R73" si="15">SUM(C62:C72)</f>
        <v>35</v>
      </c>
      <c r="D73" s="234">
        <f t="shared" si="15"/>
        <v>188000</v>
      </c>
      <c r="E73" s="234">
        <f t="shared" si="15"/>
        <v>0</v>
      </c>
      <c r="F73" s="234">
        <f t="shared" si="15"/>
        <v>0</v>
      </c>
      <c r="G73" s="234">
        <f t="shared" si="15"/>
        <v>12</v>
      </c>
      <c r="H73" s="234">
        <f t="shared" si="15"/>
        <v>72000</v>
      </c>
      <c r="I73" s="234">
        <f t="shared" si="15"/>
        <v>0</v>
      </c>
      <c r="J73" s="234">
        <f t="shared" si="15"/>
        <v>0</v>
      </c>
      <c r="K73" s="234">
        <f t="shared" si="15"/>
        <v>10</v>
      </c>
      <c r="L73" s="234">
        <f t="shared" si="15"/>
        <v>61500</v>
      </c>
      <c r="M73" s="234">
        <f t="shared" si="15"/>
        <v>0</v>
      </c>
      <c r="N73" s="234">
        <f t="shared" si="15"/>
        <v>0</v>
      </c>
      <c r="O73" s="234">
        <f t="shared" si="15"/>
        <v>13</v>
      </c>
      <c r="P73" s="234">
        <f t="shared" si="15"/>
        <v>54500</v>
      </c>
      <c r="Q73" s="234">
        <f t="shared" si="15"/>
        <v>0</v>
      </c>
      <c r="R73" s="234">
        <f t="shared" si="15"/>
        <v>0</v>
      </c>
    </row>
    <row r="74" spans="1:18" x14ac:dyDescent="0.2">
      <c r="A74" s="175" t="s">
        <v>8</v>
      </c>
      <c r="B74" s="194" t="s">
        <v>86</v>
      </c>
      <c r="C74" s="213"/>
      <c r="D74" s="213"/>
      <c r="E74" s="213"/>
      <c r="F74" s="213"/>
      <c r="G74" s="177"/>
      <c r="H74" s="178"/>
      <c r="I74" s="177"/>
      <c r="J74" s="177"/>
      <c r="K74" s="177"/>
      <c r="L74" s="178"/>
      <c r="M74" s="177"/>
      <c r="N74" s="177"/>
      <c r="O74" s="177"/>
      <c r="P74" s="178"/>
      <c r="Q74" s="177"/>
      <c r="R74" s="179"/>
    </row>
    <row r="75" spans="1:18" s="38" customFormat="1" x14ac:dyDescent="0.2">
      <c r="A75" s="25"/>
      <c r="B75" s="193" t="s">
        <v>87</v>
      </c>
      <c r="C75" s="64">
        <f t="shared" ref="C75:F76" si="16">G75+K75+O75</f>
        <v>0</v>
      </c>
      <c r="D75" s="64">
        <f t="shared" si="16"/>
        <v>0</v>
      </c>
      <c r="E75" s="64">
        <f t="shared" si="16"/>
        <v>0</v>
      </c>
      <c r="F75" s="64">
        <f t="shared" si="16"/>
        <v>0</v>
      </c>
      <c r="G75" s="54"/>
      <c r="H75" s="119"/>
      <c r="I75" s="54"/>
      <c r="J75" s="54"/>
      <c r="K75" s="54"/>
      <c r="L75" s="119"/>
      <c r="M75" s="54"/>
      <c r="N75" s="54"/>
      <c r="O75" s="54"/>
      <c r="P75" s="119"/>
      <c r="Q75" s="54"/>
      <c r="R75" s="180"/>
    </row>
    <row r="76" spans="1:18" s="38" customFormat="1" ht="26.25" thickBot="1" x14ac:dyDescent="0.25">
      <c r="A76" s="181"/>
      <c r="B76" s="203" t="s">
        <v>88</v>
      </c>
      <c r="C76" s="239">
        <f t="shared" si="16"/>
        <v>4</v>
      </c>
      <c r="D76" s="239">
        <f t="shared" si="16"/>
        <v>4000</v>
      </c>
      <c r="E76" s="239">
        <f t="shared" si="16"/>
        <v>0</v>
      </c>
      <c r="F76" s="239">
        <f t="shared" si="16"/>
        <v>0</v>
      </c>
      <c r="G76" s="200"/>
      <c r="H76" s="184"/>
      <c r="I76" s="200"/>
      <c r="J76" s="200"/>
      <c r="K76" s="200"/>
      <c r="L76" s="184"/>
      <c r="M76" s="200"/>
      <c r="N76" s="200"/>
      <c r="O76" s="200">
        <v>4</v>
      </c>
      <c r="P76" s="184">
        <v>4000</v>
      </c>
      <c r="Q76" s="200"/>
      <c r="R76" s="186"/>
    </row>
    <row r="77" spans="1:18" ht="13.5" thickBot="1" x14ac:dyDescent="0.25">
      <c r="A77" s="232"/>
      <c r="B77" s="233" t="s">
        <v>158</v>
      </c>
      <c r="C77" s="234">
        <f t="shared" ref="C77:R77" si="17">SUM(C75:C76)</f>
        <v>4</v>
      </c>
      <c r="D77" s="234">
        <f t="shared" si="17"/>
        <v>4000</v>
      </c>
      <c r="E77" s="234">
        <f t="shared" si="17"/>
        <v>0</v>
      </c>
      <c r="F77" s="234">
        <f t="shared" si="17"/>
        <v>0</v>
      </c>
      <c r="G77" s="234">
        <f t="shared" si="17"/>
        <v>0</v>
      </c>
      <c r="H77" s="234">
        <f t="shared" si="17"/>
        <v>0</v>
      </c>
      <c r="I77" s="234">
        <f t="shared" si="17"/>
        <v>0</v>
      </c>
      <c r="J77" s="234">
        <f t="shared" si="17"/>
        <v>0</v>
      </c>
      <c r="K77" s="234">
        <f t="shared" si="17"/>
        <v>0</v>
      </c>
      <c r="L77" s="234">
        <f t="shared" si="17"/>
        <v>0</v>
      </c>
      <c r="M77" s="234">
        <f t="shared" si="17"/>
        <v>0</v>
      </c>
      <c r="N77" s="234">
        <f t="shared" si="17"/>
        <v>0</v>
      </c>
      <c r="O77" s="234">
        <f t="shared" si="17"/>
        <v>4</v>
      </c>
      <c r="P77" s="234">
        <f t="shared" si="17"/>
        <v>4000</v>
      </c>
      <c r="Q77" s="234">
        <f t="shared" si="17"/>
        <v>0</v>
      </c>
      <c r="R77" s="234">
        <f t="shared" si="17"/>
        <v>0</v>
      </c>
    </row>
    <row r="78" spans="1:18" x14ac:dyDescent="0.2">
      <c r="A78" s="175" t="s">
        <v>9</v>
      </c>
      <c r="B78" s="176" t="s">
        <v>90</v>
      </c>
      <c r="C78" s="213"/>
      <c r="D78" s="213"/>
      <c r="E78" s="213"/>
      <c r="F78" s="213"/>
      <c r="G78" s="177"/>
      <c r="H78" s="178"/>
      <c r="I78" s="177"/>
      <c r="J78" s="177"/>
      <c r="K78" s="177"/>
      <c r="L78" s="178"/>
      <c r="M78" s="177"/>
      <c r="N78" s="177"/>
      <c r="O78" s="177"/>
      <c r="P78" s="178"/>
      <c r="Q78" s="177"/>
      <c r="R78" s="179"/>
    </row>
    <row r="79" spans="1:18" s="38" customFormat="1" ht="15" x14ac:dyDescent="0.25">
      <c r="A79" s="25"/>
      <c r="B79" s="205" t="s">
        <v>91</v>
      </c>
      <c r="C79" s="64">
        <f t="shared" ref="C79:F80" si="18">G79+K79+O79</f>
        <v>4</v>
      </c>
      <c r="D79" s="64">
        <f t="shared" si="18"/>
        <v>2200000</v>
      </c>
      <c r="E79" s="64">
        <f t="shared" si="18"/>
        <v>0</v>
      </c>
      <c r="F79" s="64">
        <f t="shared" si="18"/>
        <v>0</v>
      </c>
      <c r="G79" s="47">
        <v>2</v>
      </c>
      <c r="H79" s="119">
        <f>G79*550000</f>
        <v>1100000</v>
      </c>
      <c r="I79" s="54"/>
      <c r="J79" s="54"/>
      <c r="K79" s="47">
        <v>1</v>
      </c>
      <c r="L79" s="119">
        <f>K79*550000</f>
        <v>550000</v>
      </c>
      <c r="M79" s="54"/>
      <c r="N79" s="54"/>
      <c r="O79" s="47">
        <v>1</v>
      </c>
      <c r="P79" s="119">
        <f>O79*550000</f>
        <v>550000</v>
      </c>
      <c r="Q79" s="54"/>
      <c r="R79" s="180"/>
    </row>
    <row r="80" spans="1:18" s="38" customFormat="1" ht="15" x14ac:dyDescent="0.25">
      <c r="A80" s="25"/>
      <c r="B80" s="205" t="s">
        <v>92</v>
      </c>
      <c r="C80" s="64">
        <f t="shared" si="18"/>
        <v>3</v>
      </c>
      <c r="D80" s="64">
        <f t="shared" si="18"/>
        <v>1350000</v>
      </c>
      <c r="E80" s="64">
        <f t="shared" si="18"/>
        <v>0</v>
      </c>
      <c r="F80" s="64">
        <f t="shared" si="18"/>
        <v>0</v>
      </c>
      <c r="G80" s="47">
        <v>1</v>
      </c>
      <c r="H80" s="119">
        <f>G80*450000</f>
        <v>450000</v>
      </c>
      <c r="I80" s="54"/>
      <c r="J80" s="54"/>
      <c r="K80" s="47">
        <v>1</v>
      </c>
      <c r="L80" s="119">
        <f>K80*450000</f>
        <v>450000</v>
      </c>
      <c r="M80" s="54"/>
      <c r="N80" s="54"/>
      <c r="O80" s="54">
        <v>1</v>
      </c>
      <c r="P80" s="119">
        <f>O80*450000</f>
        <v>450000</v>
      </c>
      <c r="Q80" s="54"/>
      <c r="R80" s="180"/>
    </row>
    <row r="81" spans="1:18" s="38" customFormat="1" ht="15" x14ac:dyDescent="0.25">
      <c r="A81" s="25"/>
      <c r="B81" s="205" t="s">
        <v>93</v>
      </c>
      <c r="C81" s="64"/>
      <c r="D81" s="64"/>
      <c r="E81" s="64"/>
      <c r="F81" s="64"/>
      <c r="G81" s="47">
        <v>0</v>
      </c>
      <c r="H81" s="119">
        <f>G81*15000</f>
        <v>0</v>
      </c>
      <c r="I81" s="54"/>
      <c r="J81" s="54"/>
      <c r="K81" s="47">
        <v>1</v>
      </c>
      <c r="L81" s="119">
        <f>K81*15000</f>
        <v>15000</v>
      </c>
      <c r="M81" s="54"/>
      <c r="N81" s="54"/>
      <c r="O81" s="54">
        <v>0</v>
      </c>
      <c r="P81" s="119">
        <f>O81*15000</f>
        <v>0</v>
      </c>
      <c r="Q81" s="54"/>
      <c r="R81" s="180"/>
    </row>
    <row r="82" spans="1:18" s="38" customFormat="1" ht="15" x14ac:dyDescent="0.25">
      <c r="A82" s="25"/>
      <c r="B82" s="205" t="s">
        <v>94</v>
      </c>
      <c r="C82" s="64">
        <f>G82+K82+O82</f>
        <v>1</v>
      </c>
      <c r="D82" s="64">
        <f>H82+L82+P82</f>
        <v>130000</v>
      </c>
      <c r="E82" s="64">
        <f>I82+M82+Q82</f>
        <v>0</v>
      </c>
      <c r="F82" s="64">
        <f>J82+N82+R82</f>
        <v>0</v>
      </c>
      <c r="G82" s="54">
        <v>0</v>
      </c>
      <c r="H82" s="119">
        <f>G82*130000</f>
        <v>0</v>
      </c>
      <c r="I82" s="54"/>
      <c r="J82" s="54"/>
      <c r="K82" s="47">
        <v>0</v>
      </c>
      <c r="L82" s="119">
        <f>K82*130000</f>
        <v>0</v>
      </c>
      <c r="M82" s="54"/>
      <c r="N82" s="54"/>
      <c r="O82" s="47">
        <v>1</v>
      </c>
      <c r="P82" s="119">
        <f>O82*130000</f>
        <v>130000</v>
      </c>
      <c r="Q82" s="54"/>
      <c r="R82" s="180"/>
    </row>
    <row r="83" spans="1:18" s="38" customFormat="1" ht="15" x14ac:dyDescent="0.25">
      <c r="A83" s="25"/>
      <c r="B83" s="48" t="s">
        <v>95</v>
      </c>
      <c r="C83" s="64">
        <f t="shared" ref="C83:F91" si="19">G83+K83+O83</f>
        <v>4</v>
      </c>
      <c r="D83" s="64">
        <f t="shared" si="19"/>
        <v>20000</v>
      </c>
      <c r="E83" s="64">
        <f t="shared" si="19"/>
        <v>0</v>
      </c>
      <c r="F83" s="64">
        <f t="shared" si="19"/>
        <v>0</v>
      </c>
      <c r="G83" s="47">
        <v>0</v>
      </c>
      <c r="H83" s="119">
        <f>G83*5000</f>
        <v>0</v>
      </c>
      <c r="I83" s="54"/>
      <c r="J83" s="54"/>
      <c r="K83" s="54">
        <v>1</v>
      </c>
      <c r="L83" s="119">
        <f>K83*5000</f>
        <v>5000</v>
      </c>
      <c r="M83" s="54"/>
      <c r="N83" s="54"/>
      <c r="O83" s="47">
        <v>3</v>
      </c>
      <c r="P83" s="119">
        <f>O83*5000</f>
        <v>15000</v>
      </c>
      <c r="Q83" s="54"/>
      <c r="R83" s="180"/>
    </row>
    <row r="84" spans="1:18" s="141" customFormat="1" ht="15" customHeight="1" x14ac:dyDescent="0.25">
      <c r="A84" s="25"/>
      <c r="B84" s="205" t="s">
        <v>96</v>
      </c>
      <c r="C84" s="64">
        <f t="shared" ref="C84:F89" si="20">G84+K84+O84</f>
        <v>4</v>
      </c>
      <c r="D84" s="64">
        <f t="shared" si="20"/>
        <v>20000</v>
      </c>
      <c r="E84" s="64">
        <f t="shared" si="20"/>
        <v>0</v>
      </c>
      <c r="F84" s="64">
        <f t="shared" si="20"/>
        <v>0</v>
      </c>
      <c r="G84" s="47">
        <v>2</v>
      </c>
      <c r="H84" s="119">
        <f>G84*5000</f>
        <v>10000</v>
      </c>
      <c r="I84" s="54"/>
      <c r="J84" s="54"/>
      <c r="K84" s="47">
        <v>0</v>
      </c>
      <c r="L84" s="119">
        <f>K84*5000</f>
        <v>0</v>
      </c>
      <c r="M84" s="54"/>
      <c r="N84" s="54"/>
      <c r="O84" s="54">
        <v>2</v>
      </c>
      <c r="P84" s="119">
        <f>O84*5000</f>
        <v>10000</v>
      </c>
      <c r="Q84" s="54"/>
      <c r="R84" s="180"/>
    </row>
    <row r="85" spans="1:18" s="141" customFormat="1" ht="15" customHeight="1" x14ac:dyDescent="0.25">
      <c r="A85" s="25"/>
      <c r="B85" s="205" t="s">
        <v>97</v>
      </c>
      <c r="C85" s="64">
        <f t="shared" si="20"/>
        <v>6</v>
      </c>
      <c r="D85" s="64">
        <f t="shared" si="20"/>
        <v>42000</v>
      </c>
      <c r="E85" s="64">
        <f t="shared" si="20"/>
        <v>0</v>
      </c>
      <c r="F85" s="64">
        <f t="shared" si="20"/>
        <v>0</v>
      </c>
      <c r="G85" s="47">
        <v>4</v>
      </c>
      <c r="H85" s="119">
        <f>G85*7000</f>
        <v>28000</v>
      </c>
      <c r="I85" s="54"/>
      <c r="J85" s="54"/>
      <c r="K85" s="47">
        <v>0</v>
      </c>
      <c r="L85" s="119">
        <f>K85*7000</f>
        <v>0</v>
      </c>
      <c r="M85" s="54"/>
      <c r="N85" s="54"/>
      <c r="O85" s="47">
        <v>2</v>
      </c>
      <c r="P85" s="119">
        <f>O85*7000</f>
        <v>14000</v>
      </c>
      <c r="Q85" s="54"/>
      <c r="R85" s="180"/>
    </row>
    <row r="86" spans="1:18" s="141" customFormat="1" ht="15" customHeight="1" x14ac:dyDescent="0.25">
      <c r="A86" s="25"/>
      <c r="B86" s="205" t="s">
        <v>98</v>
      </c>
      <c r="C86" s="64">
        <f t="shared" si="20"/>
        <v>10</v>
      </c>
      <c r="D86" s="64">
        <f t="shared" si="20"/>
        <v>80000</v>
      </c>
      <c r="E86" s="64">
        <f t="shared" si="20"/>
        <v>0</v>
      </c>
      <c r="F86" s="64">
        <f t="shared" si="20"/>
        <v>0</v>
      </c>
      <c r="G86" s="47">
        <v>3</v>
      </c>
      <c r="H86" s="119">
        <f>G86*8000</f>
        <v>24000</v>
      </c>
      <c r="I86" s="54"/>
      <c r="J86" s="54"/>
      <c r="K86" s="47">
        <v>5</v>
      </c>
      <c r="L86" s="119">
        <f>K86*8000</f>
        <v>40000</v>
      </c>
      <c r="M86" s="54"/>
      <c r="N86" s="54"/>
      <c r="O86" s="47">
        <v>2</v>
      </c>
      <c r="P86" s="119">
        <f>O86*8000</f>
        <v>16000</v>
      </c>
      <c r="Q86" s="54"/>
      <c r="R86" s="180"/>
    </row>
    <row r="87" spans="1:18" s="38" customFormat="1" ht="15" x14ac:dyDescent="0.25">
      <c r="A87" s="25"/>
      <c r="B87" s="205" t="s">
        <v>99</v>
      </c>
      <c r="C87" s="64">
        <f t="shared" si="20"/>
        <v>3</v>
      </c>
      <c r="D87" s="64">
        <f t="shared" si="20"/>
        <v>24000</v>
      </c>
      <c r="E87" s="64">
        <f t="shared" si="20"/>
        <v>0</v>
      </c>
      <c r="F87" s="64">
        <f t="shared" si="20"/>
        <v>0</v>
      </c>
      <c r="G87" s="47">
        <v>3</v>
      </c>
      <c r="H87" s="119">
        <f>G87*8000</f>
        <v>24000</v>
      </c>
      <c r="I87" s="54"/>
      <c r="J87" s="54"/>
      <c r="K87" s="54">
        <v>0</v>
      </c>
      <c r="L87" s="119">
        <f>K87*8000</f>
        <v>0</v>
      </c>
      <c r="M87" s="54"/>
      <c r="N87" s="54"/>
      <c r="O87" s="47">
        <v>0</v>
      </c>
      <c r="P87" s="119">
        <f>O87*8000</f>
        <v>0</v>
      </c>
      <c r="Q87" s="54"/>
      <c r="R87" s="180"/>
    </row>
    <row r="88" spans="1:18" s="141" customFormat="1" ht="15" customHeight="1" x14ac:dyDescent="0.25">
      <c r="A88" s="25"/>
      <c r="B88" s="205" t="s">
        <v>100</v>
      </c>
      <c r="C88" s="64">
        <f t="shared" si="20"/>
        <v>2</v>
      </c>
      <c r="D88" s="64">
        <f t="shared" si="20"/>
        <v>50000</v>
      </c>
      <c r="E88" s="64">
        <f t="shared" si="20"/>
        <v>0</v>
      </c>
      <c r="F88" s="64">
        <f t="shared" si="20"/>
        <v>0</v>
      </c>
      <c r="G88" s="47">
        <v>1</v>
      </c>
      <c r="H88" s="119">
        <f>G88*25000</f>
        <v>25000</v>
      </c>
      <c r="I88" s="54"/>
      <c r="J88" s="54"/>
      <c r="K88" s="47">
        <v>0</v>
      </c>
      <c r="L88" s="119">
        <f>K88*25000</f>
        <v>0</v>
      </c>
      <c r="M88" s="54"/>
      <c r="N88" s="54"/>
      <c r="O88" s="47">
        <v>1</v>
      </c>
      <c r="P88" s="119">
        <f>O88*25000</f>
        <v>25000</v>
      </c>
      <c r="Q88" s="54"/>
      <c r="R88" s="180"/>
    </row>
    <row r="89" spans="1:18" s="141" customFormat="1" ht="15" customHeight="1" x14ac:dyDescent="0.2">
      <c r="A89" s="25"/>
      <c r="B89" s="205" t="s">
        <v>101</v>
      </c>
      <c r="C89" s="64">
        <f t="shared" si="20"/>
        <v>11</v>
      </c>
      <c r="D89" s="64">
        <f t="shared" si="20"/>
        <v>16500</v>
      </c>
      <c r="E89" s="64">
        <f t="shared" si="20"/>
        <v>0</v>
      </c>
      <c r="F89" s="64">
        <f t="shared" si="20"/>
        <v>0</v>
      </c>
      <c r="G89" s="54">
        <v>6</v>
      </c>
      <c r="H89" s="119">
        <f>G89*1500</f>
        <v>9000</v>
      </c>
      <c r="I89" s="54"/>
      <c r="J89" s="54"/>
      <c r="K89" s="54">
        <v>0</v>
      </c>
      <c r="L89" s="119">
        <f>K89*1500</f>
        <v>0</v>
      </c>
      <c r="M89" s="54"/>
      <c r="N89" s="54"/>
      <c r="O89" s="54">
        <v>5</v>
      </c>
      <c r="P89" s="119">
        <f>O89*1500</f>
        <v>7500</v>
      </c>
      <c r="Q89" s="54"/>
      <c r="R89" s="180"/>
    </row>
    <row r="90" spans="1:18" s="38" customFormat="1" ht="15" x14ac:dyDescent="0.25">
      <c r="A90" s="25"/>
      <c r="B90" s="205" t="s">
        <v>102</v>
      </c>
      <c r="C90" s="64">
        <f t="shared" si="19"/>
        <v>16</v>
      </c>
      <c r="D90" s="64">
        <f t="shared" si="19"/>
        <v>560000</v>
      </c>
      <c r="E90" s="64">
        <f t="shared" si="19"/>
        <v>0</v>
      </c>
      <c r="F90" s="64">
        <f t="shared" si="19"/>
        <v>0</v>
      </c>
      <c r="G90" s="47">
        <v>5</v>
      </c>
      <c r="H90" s="119">
        <f>G90*35000</f>
        <v>175000</v>
      </c>
      <c r="I90" s="54"/>
      <c r="J90" s="54"/>
      <c r="K90" s="47">
        <v>5</v>
      </c>
      <c r="L90" s="119">
        <f>K90*35000</f>
        <v>175000</v>
      </c>
      <c r="M90" s="54"/>
      <c r="N90" s="54"/>
      <c r="O90" s="47">
        <v>6</v>
      </c>
      <c r="P90" s="119">
        <f>O90*35000</f>
        <v>210000</v>
      </c>
      <c r="Q90" s="54"/>
      <c r="R90" s="180"/>
    </row>
    <row r="91" spans="1:18" s="141" customFormat="1" ht="15" customHeight="1" thickBot="1" x14ac:dyDescent="0.25">
      <c r="A91" s="181"/>
      <c r="B91" s="182" t="s">
        <v>103</v>
      </c>
      <c r="C91" s="239">
        <f t="shared" si="19"/>
        <v>0</v>
      </c>
      <c r="D91" s="239">
        <f t="shared" si="19"/>
        <v>0</v>
      </c>
      <c r="E91" s="239">
        <f t="shared" si="19"/>
        <v>0</v>
      </c>
      <c r="F91" s="239">
        <f t="shared" si="19"/>
        <v>0</v>
      </c>
      <c r="G91" s="200"/>
      <c r="H91" s="184"/>
      <c r="I91" s="200"/>
      <c r="J91" s="200"/>
      <c r="K91" s="200"/>
      <c r="L91" s="184"/>
      <c r="M91" s="200"/>
      <c r="N91" s="200"/>
      <c r="O91" s="200"/>
      <c r="P91" s="184"/>
      <c r="Q91" s="200"/>
      <c r="R91" s="186"/>
    </row>
    <row r="92" spans="1:18" ht="13.5" thickBot="1" x14ac:dyDescent="0.25">
      <c r="A92" s="232"/>
      <c r="B92" s="233" t="s">
        <v>159</v>
      </c>
      <c r="C92" s="234">
        <f t="shared" ref="C92:R92" si="21">SUM(C79:C91)</f>
        <v>64</v>
      </c>
      <c r="D92" s="234">
        <f t="shared" si="21"/>
        <v>4492500</v>
      </c>
      <c r="E92" s="234">
        <f t="shared" si="21"/>
        <v>0</v>
      </c>
      <c r="F92" s="234">
        <f t="shared" si="21"/>
        <v>0</v>
      </c>
      <c r="G92" s="234">
        <f t="shared" si="21"/>
        <v>27</v>
      </c>
      <c r="H92" s="234">
        <f t="shared" si="21"/>
        <v>1845000</v>
      </c>
      <c r="I92" s="234">
        <f t="shared" si="21"/>
        <v>0</v>
      </c>
      <c r="J92" s="234">
        <f t="shared" si="21"/>
        <v>0</v>
      </c>
      <c r="K92" s="234">
        <f t="shared" si="21"/>
        <v>14</v>
      </c>
      <c r="L92" s="234">
        <f t="shared" si="21"/>
        <v>1235000</v>
      </c>
      <c r="M92" s="234">
        <f t="shared" si="21"/>
        <v>0</v>
      </c>
      <c r="N92" s="234">
        <f t="shared" si="21"/>
        <v>0</v>
      </c>
      <c r="O92" s="234">
        <f t="shared" si="21"/>
        <v>24</v>
      </c>
      <c r="P92" s="234">
        <f t="shared" si="21"/>
        <v>1427500</v>
      </c>
      <c r="Q92" s="234">
        <f t="shared" si="21"/>
        <v>0</v>
      </c>
      <c r="R92" s="234">
        <f t="shared" si="21"/>
        <v>0</v>
      </c>
    </row>
    <row r="93" spans="1:18" x14ac:dyDescent="0.2">
      <c r="A93" s="210" t="s">
        <v>10</v>
      </c>
      <c r="B93" s="211" t="s">
        <v>104</v>
      </c>
      <c r="C93" s="213"/>
      <c r="D93" s="213"/>
      <c r="E93" s="213"/>
      <c r="F93" s="213"/>
      <c r="G93" s="177"/>
      <c r="H93" s="178"/>
      <c r="I93" s="177"/>
      <c r="J93" s="177"/>
      <c r="K93" s="177"/>
      <c r="L93" s="178"/>
      <c r="M93" s="177"/>
      <c r="N93" s="177"/>
      <c r="O93" s="177"/>
      <c r="P93" s="178"/>
      <c r="Q93" s="177"/>
      <c r="R93" s="179"/>
    </row>
    <row r="94" spans="1:18" s="141" customFormat="1" ht="15" x14ac:dyDescent="0.25">
      <c r="A94" s="143"/>
      <c r="B94" s="205" t="s">
        <v>105</v>
      </c>
      <c r="C94" s="64">
        <f t="shared" ref="C94:F124" si="22">G94+K94+O94</f>
        <v>0</v>
      </c>
      <c r="D94" s="64">
        <f t="shared" si="22"/>
        <v>0</v>
      </c>
      <c r="E94" s="64">
        <f t="shared" si="22"/>
        <v>0</v>
      </c>
      <c r="F94" s="64">
        <f t="shared" si="22"/>
        <v>0</v>
      </c>
      <c r="G94" s="47"/>
      <c r="H94" s="119"/>
      <c r="I94" s="54"/>
      <c r="J94" s="54"/>
      <c r="K94" s="54"/>
      <c r="L94" s="119"/>
      <c r="M94" s="54"/>
      <c r="N94" s="54"/>
      <c r="O94" s="47"/>
      <c r="P94" s="119"/>
      <c r="Q94" s="54"/>
      <c r="R94" s="180"/>
    </row>
    <row r="95" spans="1:18" s="38" customFormat="1" ht="15" x14ac:dyDescent="0.25">
      <c r="A95" s="25"/>
      <c r="B95" s="48" t="s">
        <v>106</v>
      </c>
      <c r="C95" s="64">
        <f t="shared" ref="C95" si="23">G95+K95+O95</f>
        <v>0</v>
      </c>
      <c r="D95" s="64">
        <f t="shared" si="22"/>
        <v>0</v>
      </c>
      <c r="E95" s="64">
        <f t="shared" si="22"/>
        <v>0</v>
      </c>
      <c r="F95" s="64">
        <f t="shared" si="22"/>
        <v>0</v>
      </c>
      <c r="G95" s="47"/>
      <c r="H95" s="119"/>
      <c r="I95" s="54"/>
      <c r="J95" s="54"/>
      <c r="K95" s="54"/>
      <c r="L95" s="119"/>
      <c r="M95" s="54"/>
      <c r="N95" s="54"/>
      <c r="O95" s="54"/>
      <c r="P95" s="119"/>
      <c r="Q95" s="54"/>
      <c r="R95" s="180"/>
    </row>
    <row r="96" spans="1:18" s="38" customFormat="1" ht="13.9" customHeight="1" x14ac:dyDescent="0.2">
      <c r="A96" s="25"/>
      <c r="B96" s="48" t="s">
        <v>107</v>
      </c>
      <c r="C96" s="64">
        <f t="shared" si="22"/>
        <v>0</v>
      </c>
      <c r="D96" s="64">
        <f t="shared" si="22"/>
        <v>0</v>
      </c>
      <c r="E96" s="64">
        <f t="shared" si="22"/>
        <v>0</v>
      </c>
      <c r="F96" s="64">
        <f t="shared" si="22"/>
        <v>0</v>
      </c>
      <c r="G96" s="54"/>
      <c r="H96" s="119"/>
      <c r="I96" s="54"/>
      <c r="J96" s="54"/>
      <c r="K96" s="54"/>
      <c r="L96" s="119"/>
      <c r="M96" s="54"/>
      <c r="N96" s="54"/>
      <c r="O96" s="54"/>
      <c r="P96" s="119"/>
      <c r="Q96" s="54"/>
      <c r="R96" s="180"/>
    </row>
    <row r="97" spans="1:18" s="38" customFormat="1" ht="15" x14ac:dyDescent="0.25">
      <c r="A97" s="25"/>
      <c r="B97" s="208" t="s">
        <v>109</v>
      </c>
      <c r="C97" s="64">
        <f t="shared" si="22"/>
        <v>0</v>
      </c>
      <c r="D97" s="64">
        <f t="shared" si="22"/>
        <v>0</v>
      </c>
      <c r="E97" s="64">
        <f t="shared" si="22"/>
        <v>0</v>
      </c>
      <c r="F97" s="64">
        <f t="shared" si="22"/>
        <v>0</v>
      </c>
      <c r="G97" s="47"/>
      <c r="H97" s="119"/>
      <c r="I97" s="54"/>
      <c r="J97" s="54"/>
      <c r="K97" s="54"/>
      <c r="L97" s="119"/>
      <c r="M97" s="54"/>
      <c r="N97" s="54"/>
      <c r="O97" s="54"/>
      <c r="P97" s="119"/>
      <c r="Q97" s="54"/>
      <c r="R97" s="180"/>
    </row>
    <row r="98" spans="1:18" s="38" customFormat="1" ht="15" x14ac:dyDescent="0.25">
      <c r="A98" s="25"/>
      <c r="B98" s="208" t="s">
        <v>111</v>
      </c>
      <c r="C98" s="64">
        <f t="shared" si="22"/>
        <v>0</v>
      </c>
      <c r="D98" s="64">
        <f t="shared" si="22"/>
        <v>0</v>
      </c>
      <c r="E98" s="64">
        <f t="shared" si="22"/>
        <v>0</v>
      </c>
      <c r="F98" s="64">
        <f t="shared" si="22"/>
        <v>0</v>
      </c>
      <c r="G98" s="47"/>
      <c r="H98" s="119"/>
      <c r="I98" s="54"/>
      <c r="J98" s="54"/>
      <c r="K98" s="47"/>
      <c r="L98" s="47"/>
      <c r="M98" s="54"/>
      <c r="N98" s="54"/>
      <c r="O98" s="47"/>
      <c r="P98" s="47"/>
      <c r="Q98" s="54"/>
      <c r="R98" s="180"/>
    </row>
    <row r="99" spans="1:18" s="38" customFormat="1" x14ac:dyDescent="0.2">
      <c r="A99" s="25"/>
      <c r="B99" s="208" t="s">
        <v>113</v>
      </c>
      <c r="C99" s="64">
        <f t="shared" si="22"/>
        <v>0</v>
      </c>
      <c r="D99" s="64">
        <f t="shared" si="22"/>
        <v>0</v>
      </c>
      <c r="E99" s="64">
        <f t="shared" si="22"/>
        <v>0</v>
      </c>
      <c r="F99" s="64">
        <f t="shared" si="22"/>
        <v>0</v>
      </c>
      <c r="G99" s="54"/>
      <c r="H99" s="119"/>
      <c r="I99" s="54"/>
      <c r="J99" s="54"/>
      <c r="K99" s="54"/>
      <c r="L99" s="119"/>
      <c r="M99" s="54"/>
      <c r="N99" s="54"/>
      <c r="O99" s="54"/>
      <c r="P99" s="119"/>
      <c r="Q99" s="54"/>
      <c r="R99" s="180"/>
    </row>
    <row r="100" spans="1:18" s="38" customFormat="1" ht="15" x14ac:dyDescent="0.25">
      <c r="A100" s="25"/>
      <c r="B100" s="208" t="s">
        <v>115</v>
      </c>
      <c r="C100" s="64">
        <f t="shared" si="22"/>
        <v>0</v>
      </c>
      <c r="D100" s="64">
        <f t="shared" si="22"/>
        <v>0</v>
      </c>
      <c r="E100" s="64">
        <f t="shared" si="22"/>
        <v>0</v>
      </c>
      <c r="F100" s="64">
        <f t="shared" si="22"/>
        <v>0</v>
      </c>
      <c r="G100" s="47"/>
      <c r="H100" s="119"/>
      <c r="I100" s="54"/>
      <c r="J100" s="54"/>
      <c r="K100" s="54"/>
      <c r="L100" s="119"/>
      <c r="M100" s="54"/>
      <c r="N100" s="54"/>
      <c r="O100" s="54"/>
      <c r="P100" s="119"/>
      <c r="Q100" s="54"/>
      <c r="R100" s="180"/>
    </row>
    <row r="101" spans="1:18" s="38" customFormat="1" ht="15" x14ac:dyDescent="0.25">
      <c r="A101" s="25"/>
      <c r="B101" s="208" t="s">
        <v>279</v>
      </c>
      <c r="C101" s="64"/>
      <c r="D101" s="64"/>
      <c r="E101" s="64"/>
      <c r="F101" s="64"/>
      <c r="G101" s="47"/>
      <c r="H101" s="119"/>
      <c r="I101" s="54"/>
      <c r="J101" s="54"/>
      <c r="K101" s="54"/>
      <c r="L101" s="119"/>
      <c r="M101" s="54"/>
      <c r="N101" s="54"/>
      <c r="O101" s="54"/>
      <c r="P101" s="119"/>
      <c r="Q101" s="54"/>
      <c r="R101" s="180"/>
    </row>
    <row r="102" spans="1:18" s="38" customFormat="1" x14ac:dyDescent="0.2">
      <c r="A102" s="25"/>
      <c r="B102" s="205" t="s">
        <v>116</v>
      </c>
      <c r="C102" s="64">
        <f t="shared" si="22"/>
        <v>0</v>
      </c>
      <c r="D102" s="64">
        <f t="shared" si="22"/>
        <v>0</v>
      </c>
      <c r="E102" s="64">
        <f t="shared" si="22"/>
        <v>0</v>
      </c>
      <c r="F102" s="64">
        <f t="shared" si="22"/>
        <v>0</v>
      </c>
      <c r="G102" s="54"/>
      <c r="H102" s="119"/>
      <c r="I102" s="54"/>
      <c r="J102" s="54"/>
      <c r="K102" s="54"/>
      <c r="L102" s="119"/>
      <c r="M102" s="54"/>
      <c r="N102" s="54"/>
      <c r="O102" s="54"/>
      <c r="P102" s="119"/>
      <c r="Q102" s="54"/>
      <c r="R102" s="180"/>
    </row>
    <row r="103" spans="1:18" s="141" customFormat="1" x14ac:dyDescent="0.2">
      <c r="A103" s="25"/>
      <c r="B103" s="208" t="s">
        <v>117</v>
      </c>
      <c r="C103" s="64">
        <f t="shared" si="22"/>
        <v>0</v>
      </c>
      <c r="D103" s="64">
        <f t="shared" si="22"/>
        <v>0</v>
      </c>
      <c r="E103" s="64">
        <f t="shared" si="22"/>
        <v>0</v>
      </c>
      <c r="F103" s="64">
        <f t="shared" si="22"/>
        <v>0</v>
      </c>
      <c r="G103" s="54"/>
      <c r="H103" s="119"/>
      <c r="I103" s="54"/>
      <c r="J103" s="54"/>
      <c r="K103" s="54"/>
      <c r="L103" s="119"/>
      <c r="M103" s="54"/>
      <c r="N103" s="54"/>
      <c r="O103" s="54"/>
      <c r="P103" s="119"/>
      <c r="Q103" s="54"/>
      <c r="R103" s="180"/>
    </row>
    <row r="104" spans="1:18" s="38" customFormat="1" x14ac:dyDescent="0.2">
      <c r="A104" s="25"/>
      <c r="B104" s="48" t="s">
        <v>118</v>
      </c>
      <c r="C104" s="64">
        <f t="shared" si="22"/>
        <v>0</v>
      </c>
      <c r="D104" s="64">
        <f t="shared" si="22"/>
        <v>0</v>
      </c>
      <c r="E104" s="64">
        <f t="shared" si="22"/>
        <v>0</v>
      </c>
      <c r="F104" s="64">
        <f t="shared" si="22"/>
        <v>0</v>
      </c>
      <c r="G104" s="54"/>
      <c r="H104" s="119"/>
      <c r="I104" s="54"/>
      <c r="J104" s="54"/>
      <c r="K104" s="54"/>
      <c r="L104" s="119"/>
      <c r="M104" s="54"/>
      <c r="N104" s="54"/>
      <c r="O104" s="54"/>
      <c r="P104" s="119"/>
      <c r="Q104" s="54"/>
      <c r="R104" s="180"/>
    </row>
    <row r="105" spans="1:18" s="141" customFormat="1" x14ac:dyDescent="0.2">
      <c r="A105" s="143"/>
      <c r="B105" s="205" t="s">
        <v>119</v>
      </c>
      <c r="C105" s="64">
        <f t="shared" si="22"/>
        <v>0</v>
      </c>
      <c r="D105" s="64">
        <f t="shared" si="22"/>
        <v>0</v>
      </c>
      <c r="E105" s="64">
        <f t="shared" si="22"/>
        <v>0</v>
      </c>
      <c r="F105" s="64">
        <f t="shared" si="22"/>
        <v>0</v>
      </c>
      <c r="G105" s="54"/>
      <c r="H105" s="119"/>
      <c r="I105" s="54"/>
      <c r="J105" s="54"/>
      <c r="K105" s="54"/>
      <c r="L105" s="119"/>
      <c r="M105" s="54"/>
      <c r="N105" s="54"/>
      <c r="O105" s="54"/>
      <c r="P105" s="119"/>
      <c r="Q105" s="54"/>
      <c r="R105" s="180"/>
    </row>
    <row r="106" spans="1:18" s="141" customFormat="1" ht="15" x14ac:dyDescent="0.25">
      <c r="A106" s="143"/>
      <c r="B106" s="48" t="s">
        <v>120</v>
      </c>
      <c r="C106" s="64">
        <f t="shared" si="22"/>
        <v>0</v>
      </c>
      <c r="D106" s="64">
        <f t="shared" si="22"/>
        <v>0</v>
      </c>
      <c r="E106" s="64">
        <f t="shared" si="22"/>
        <v>0</v>
      </c>
      <c r="F106" s="64">
        <f t="shared" si="22"/>
        <v>0</v>
      </c>
      <c r="G106" s="47"/>
      <c r="H106" s="119"/>
      <c r="I106" s="54"/>
      <c r="J106" s="54"/>
      <c r="K106" s="54"/>
      <c r="L106" s="119"/>
      <c r="M106" s="54"/>
      <c r="N106" s="54"/>
      <c r="O106" s="54"/>
      <c r="P106" s="119"/>
      <c r="Q106" s="54"/>
      <c r="R106" s="180"/>
    </row>
    <row r="107" spans="1:18" s="38" customFormat="1" ht="13.9" customHeight="1" x14ac:dyDescent="0.2">
      <c r="A107" s="25"/>
      <c r="B107" s="320" t="s">
        <v>122</v>
      </c>
      <c r="C107" s="64">
        <f t="shared" si="22"/>
        <v>0</v>
      </c>
      <c r="D107" s="64">
        <f t="shared" si="22"/>
        <v>0</v>
      </c>
      <c r="E107" s="64">
        <f t="shared" si="22"/>
        <v>0</v>
      </c>
      <c r="F107" s="64">
        <f t="shared" si="22"/>
        <v>0</v>
      </c>
      <c r="G107" s="54"/>
      <c r="H107" s="119"/>
      <c r="I107" s="54"/>
      <c r="J107" s="54"/>
      <c r="K107" s="54"/>
      <c r="L107" s="119"/>
      <c r="M107" s="54"/>
      <c r="N107" s="54"/>
      <c r="O107" s="54"/>
      <c r="P107" s="119"/>
      <c r="Q107" s="54"/>
      <c r="R107" s="180"/>
    </row>
    <row r="108" spans="1:18" s="38" customFormat="1" ht="13.9" customHeight="1" x14ac:dyDescent="0.2">
      <c r="A108" s="25"/>
      <c r="B108" s="209" t="s">
        <v>124</v>
      </c>
      <c r="C108" s="64">
        <f t="shared" si="22"/>
        <v>0</v>
      </c>
      <c r="D108" s="64">
        <f t="shared" si="22"/>
        <v>0</v>
      </c>
      <c r="E108" s="64">
        <f t="shared" si="22"/>
        <v>0</v>
      </c>
      <c r="F108" s="64">
        <f t="shared" si="22"/>
        <v>0</v>
      </c>
      <c r="G108" s="54"/>
      <c r="H108" s="119"/>
      <c r="I108" s="54"/>
      <c r="J108" s="54"/>
      <c r="K108" s="54"/>
      <c r="L108" s="119"/>
      <c r="M108" s="54"/>
      <c r="N108" s="54"/>
      <c r="O108" s="54"/>
      <c r="P108" s="119"/>
      <c r="Q108" s="54"/>
      <c r="R108" s="180"/>
    </row>
    <row r="109" spans="1:18" s="38" customFormat="1" ht="13.9" customHeight="1" x14ac:dyDescent="0.2">
      <c r="A109" s="25"/>
      <c r="B109" s="320" t="s">
        <v>126</v>
      </c>
      <c r="C109" s="64">
        <f t="shared" si="22"/>
        <v>0</v>
      </c>
      <c r="D109" s="64">
        <f t="shared" si="22"/>
        <v>0</v>
      </c>
      <c r="E109" s="64">
        <f t="shared" si="22"/>
        <v>0</v>
      </c>
      <c r="F109" s="64">
        <f t="shared" si="22"/>
        <v>0</v>
      </c>
      <c r="G109" s="54"/>
      <c r="H109" s="119"/>
      <c r="I109" s="54"/>
      <c r="J109" s="54"/>
      <c r="K109" s="54"/>
      <c r="L109" s="119"/>
      <c r="M109" s="54"/>
      <c r="N109" s="54"/>
      <c r="O109" s="54"/>
      <c r="P109" s="119"/>
      <c r="Q109" s="54"/>
      <c r="R109" s="180"/>
    </row>
    <row r="110" spans="1:18" s="38" customFormat="1" ht="25.5" x14ac:dyDescent="0.2">
      <c r="A110" s="25"/>
      <c r="B110" s="320" t="s">
        <v>128</v>
      </c>
      <c r="C110" s="64">
        <f>G110+K110+O110</f>
        <v>0</v>
      </c>
      <c r="D110" s="64">
        <f>H110+L110+P110</f>
        <v>0</v>
      </c>
      <c r="E110" s="64">
        <f>I110+M110+Q110</f>
        <v>0</v>
      </c>
      <c r="F110" s="64">
        <f>J110+N110+R110</f>
        <v>0</v>
      </c>
      <c r="G110" s="54"/>
      <c r="H110" s="119"/>
      <c r="I110" s="54"/>
      <c r="J110" s="54"/>
      <c r="K110" s="54"/>
      <c r="L110" s="119"/>
      <c r="M110" s="54"/>
      <c r="N110" s="54"/>
      <c r="O110" s="54"/>
      <c r="P110" s="119"/>
      <c r="Q110" s="54"/>
      <c r="R110" s="180"/>
    </row>
    <row r="111" spans="1:18" s="38" customFormat="1" ht="13.9" customHeight="1" x14ac:dyDescent="0.2">
      <c r="A111" s="25"/>
      <c r="B111" s="320" t="s">
        <v>130</v>
      </c>
      <c r="C111" s="64">
        <f t="shared" si="22"/>
        <v>0</v>
      </c>
      <c r="D111" s="64">
        <f t="shared" si="22"/>
        <v>0</v>
      </c>
      <c r="E111" s="64">
        <f t="shared" si="22"/>
        <v>0</v>
      </c>
      <c r="F111" s="64">
        <f t="shared" si="22"/>
        <v>0</v>
      </c>
      <c r="G111" s="54"/>
      <c r="H111" s="119"/>
      <c r="I111" s="54"/>
      <c r="J111" s="54"/>
      <c r="K111" s="54"/>
      <c r="L111" s="119"/>
      <c r="M111" s="54"/>
      <c r="N111" s="54"/>
      <c r="O111" s="54"/>
      <c r="P111" s="119"/>
      <c r="Q111" s="54"/>
      <c r="R111" s="180"/>
    </row>
    <row r="112" spans="1:18" s="38" customFormat="1" x14ac:dyDescent="0.2">
      <c r="A112" s="25"/>
      <c r="B112" s="320" t="s">
        <v>280</v>
      </c>
      <c r="C112" s="64">
        <f t="shared" ref="C112:F114" si="24">G112+K112+O112</f>
        <v>0</v>
      </c>
      <c r="D112" s="64">
        <f t="shared" si="24"/>
        <v>0</v>
      </c>
      <c r="E112" s="64">
        <f t="shared" si="24"/>
        <v>0</v>
      </c>
      <c r="F112" s="64">
        <f t="shared" si="24"/>
        <v>0</v>
      </c>
      <c r="G112" s="54"/>
      <c r="H112" s="119"/>
      <c r="I112" s="54"/>
      <c r="J112" s="54"/>
      <c r="K112" s="54"/>
      <c r="L112" s="119"/>
      <c r="M112" s="54"/>
      <c r="N112" s="54"/>
      <c r="O112" s="54"/>
      <c r="P112" s="119"/>
      <c r="Q112" s="54"/>
      <c r="R112" s="180"/>
    </row>
    <row r="113" spans="1:18" s="38" customFormat="1" x14ac:dyDescent="0.2">
      <c r="A113" s="25"/>
      <c r="B113" s="320" t="s">
        <v>133</v>
      </c>
      <c r="C113" s="64">
        <f t="shared" si="24"/>
        <v>0</v>
      </c>
      <c r="D113" s="64">
        <f t="shared" si="24"/>
        <v>0</v>
      </c>
      <c r="E113" s="64">
        <f t="shared" si="24"/>
        <v>0</v>
      </c>
      <c r="F113" s="64">
        <f t="shared" si="24"/>
        <v>0</v>
      </c>
      <c r="G113" s="54"/>
      <c r="H113" s="119"/>
      <c r="I113" s="54"/>
      <c r="J113" s="54"/>
      <c r="K113" s="54"/>
      <c r="L113" s="119"/>
      <c r="M113" s="54"/>
      <c r="N113" s="54"/>
      <c r="O113" s="54"/>
      <c r="P113" s="119"/>
      <c r="Q113" s="54"/>
      <c r="R113" s="180"/>
    </row>
    <row r="114" spans="1:18" s="141" customFormat="1" ht="13.5" customHeight="1" x14ac:dyDescent="0.2">
      <c r="A114" s="25"/>
      <c r="B114" s="208" t="s">
        <v>134</v>
      </c>
      <c r="C114" s="64">
        <f t="shared" si="24"/>
        <v>0</v>
      </c>
      <c r="D114" s="64">
        <f t="shared" si="24"/>
        <v>0</v>
      </c>
      <c r="E114" s="64">
        <f t="shared" si="24"/>
        <v>0</v>
      </c>
      <c r="F114" s="64">
        <f t="shared" si="24"/>
        <v>0</v>
      </c>
      <c r="G114" s="54"/>
      <c r="H114" s="119"/>
      <c r="I114" s="54"/>
      <c r="J114" s="54"/>
      <c r="K114" s="54"/>
      <c r="L114" s="119"/>
      <c r="M114" s="54"/>
      <c r="N114" s="54"/>
      <c r="O114" s="54"/>
      <c r="P114" s="119"/>
      <c r="Q114" s="54"/>
      <c r="R114" s="180"/>
    </row>
    <row r="115" spans="1:18" s="141" customFormat="1" ht="13.5" customHeight="1" x14ac:dyDescent="0.2">
      <c r="A115" s="25"/>
      <c r="B115" s="208" t="s">
        <v>135</v>
      </c>
      <c r="C115" s="64"/>
      <c r="D115" s="64"/>
      <c r="E115" s="64"/>
      <c r="F115" s="64"/>
      <c r="G115" s="54"/>
      <c r="H115" s="119"/>
      <c r="I115" s="54"/>
      <c r="J115" s="54"/>
      <c r="K115" s="54"/>
      <c r="L115" s="119"/>
      <c r="M115" s="54"/>
      <c r="N115" s="54"/>
      <c r="O115" s="54"/>
      <c r="P115" s="119"/>
      <c r="Q115" s="54"/>
      <c r="R115" s="180"/>
    </row>
    <row r="116" spans="1:18" s="141" customFormat="1" ht="25.5" x14ac:dyDescent="0.2">
      <c r="A116" s="25"/>
      <c r="B116" s="208" t="s">
        <v>136</v>
      </c>
      <c r="C116" s="64"/>
      <c r="D116" s="64">
        <f>H116+L116+P116</f>
        <v>0</v>
      </c>
      <c r="E116" s="64">
        <f>I116+M116+Q116</f>
        <v>0</v>
      </c>
      <c r="F116" s="64">
        <f>J116+N116+R116</f>
        <v>0</v>
      </c>
      <c r="G116" s="54"/>
      <c r="H116" s="119"/>
      <c r="I116" s="54"/>
      <c r="J116" s="54"/>
      <c r="K116" s="54"/>
      <c r="L116" s="119"/>
      <c r="M116" s="54"/>
      <c r="N116" s="54"/>
      <c r="O116" s="54"/>
      <c r="P116" s="119"/>
      <c r="Q116" s="54"/>
      <c r="R116" s="180"/>
    </row>
    <row r="117" spans="1:18" s="38" customFormat="1" x14ac:dyDescent="0.2">
      <c r="A117" s="25"/>
      <c r="B117" s="205" t="s">
        <v>137</v>
      </c>
      <c r="C117" s="64">
        <f t="shared" ref="C117:F122" si="25">G117+K117+O117</f>
        <v>0</v>
      </c>
      <c r="D117" s="64">
        <f t="shared" si="25"/>
        <v>0</v>
      </c>
      <c r="E117" s="64">
        <f t="shared" si="25"/>
        <v>0</v>
      </c>
      <c r="F117" s="64">
        <f t="shared" si="25"/>
        <v>0</v>
      </c>
      <c r="G117" s="54"/>
      <c r="H117" s="119"/>
      <c r="I117" s="54"/>
      <c r="J117" s="54"/>
      <c r="K117" s="54"/>
      <c r="L117" s="119"/>
      <c r="M117" s="54"/>
      <c r="N117" s="54"/>
      <c r="O117" s="54"/>
      <c r="P117" s="119"/>
      <c r="Q117" s="54"/>
      <c r="R117" s="180"/>
    </row>
    <row r="118" spans="1:18" s="38" customFormat="1" x14ac:dyDescent="0.2">
      <c r="A118" s="25"/>
      <c r="B118" s="205" t="s">
        <v>138</v>
      </c>
      <c r="C118" s="64">
        <f t="shared" si="25"/>
        <v>0</v>
      </c>
      <c r="D118" s="64">
        <f t="shared" si="25"/>
        <v>0</v>
      </c>
      <c r="E118" s="64">
        <f t="shared" si="25"/>
        <v>0</v>
      </c>
      <c r="F118" s="64">
        <f t="shared" si="25"/>
        <v>0</v>
      </c>
      <c r="G118" s="54"/>
      <c r="H118" s="119"/>
      <c r="I118" s="54"/>
      <c r="J118" s="54"/>
      <c r="K118" s="54"/>
      <c r="L118" s="119"/>
      <c r="M118" s="54"/>
      <c r="N118" s="54"/>
      <c r="O118" s="54"/>
      <c r="P118" s="119"/>
      <c r="Q118" s="54"/>
      <c r="R118" s="180"/>
    </row>
    <row r="119" spans="1:18" s="38" customFormat="1" x14ac:dyDescent="0.2">
      <c r="A119" s="25"/>
      <c r="B119" s="48" t="s">
        <v>139</v>
      </c>
      <c r="C119" s="64">
        <f t="shared" si="25"/>
        <v>0</v>
      </c>
      <c r="D119" s="64">
        <f t="shared" si="25"/>
        <v>0</v>
      </c>
      <c r="E119" s="64">
        <f t="shared" si="25"/>
        <v>0</v>
      </c>
      <c r="F119" s="64">
        <f t="shared" si="25"/>
        <v>0</v>
      </c>
      <c r="G119" s="54"/>
      <c r="H119" s="119"/>
      <c r="I119" s="54"/>
      <c r="J119" s="54"/>
      <c r="K119" s="54"/>
      <c r="L119" s="119"/>
      <c r="M119" s="54"/>
      <c r="N119" s="54"/>
      <c r="O119" s="54"/>
      <c r="P119" s="119"/>
      <c r="Q119" s="54"/>
      <c r="R119" s="180"/>
    </row>
    <row r="120" spans="1:18" s="38" customFormat="1" x14ac:dyDescent="0.2">
      <c r="A120" s="25"/>
      <c r="B120" s="48" t="s">
        <v>140</v>
      </c>
      <c r="C120" s="64">
        <f t="shared" si="25"/>
        <v>0</v>
      </c>
      <c r="D120" s="64">
        <f t="shared" si="25"/>
        <v>0</v>
      </c>
      <c r="E120" s="64">
        <f t="shared" si="25"/>
        <v>0</v>
      </c>
      <c r="F120" s="64">
        <f t="shared" si="25"/>
        <v>0</v>
      </c>
      <c r="G120" s="54"/>
      <c r="H120" s="119"/>
      <c r="I120" s="54"/>
      <c r="J120" s="54"/>
      <c r="K120" s="54"/>
      <c r="L120" s="119"/>
      <c r="M120" s="54"/>
      <c r="N120" s="54"/>
      <c r="O120" s="54"/>
      <c r="P120" s="119"/>
      <c r="Q120" s="54"/>
      <c r="R120" s="180"/>
    </row>
    <row r="121" spans="1:18" s="38" customFormat="1" x14ac:dyDescent="0.2">
      <c r="A121" s="25"/>
      <c r="B121" s="48" t="s">
        <v>141</v>
      </c>
      <c r="C121" s="64">
        <f t="shared" si="25"/>
        <v>0</v>
      </c>
      <c r="D121" s="64">
        <f t="shared" si="25"/>
        <v>0</v>
      </c>
      <c r="E121" s="64">
        <f t="shared" si="25"/>
        <v>0</v>
      </c>
      <c r="F121" s="64">
        <f t="shared" si="25"/>
        <v>0</v>
      </c>
      <c r="G121" s="54"/>
      <c r="H121" s="119"/>
      <c r="I121" s="54"/>
      <c r="J121" s="54"/>
      <c r="K121" s="54"/>
      <c r="L121" s="119"/>
      <c r="M121" s="54"/>
      <c r="N121" s="54"/>
      <c r="O121" s="54"/>
      <c r="P121" s="119"/>
      <c r="Q121" s="54"/>
      <c r="R121" s="180"/>
    </row>
    <row r="122" spans="1:18" s="38" customFormat="1" x14ac:dyDescent="0.2">
      <c r="A122" s="25"/>
      <c r="B122" s="48" t="s">
        <v>142</v>
      </c>
      <c r="C122" s="64">
        <f t="shared" si="25"/>
        <v>0</v>
      </c>
      <c r="D122" s="64">
        <f t="shared" si="25"/>
        <v>0</v>
      </c>
      <c r="E122" s="64">
        <f t="shared" si="25"/>
        <v>0</v>
      </c>
      <c r="F122" s="64">
        <f t="shared" si="25"/>
        <v>0</v>
      </c>
      <c r="G122" s="54"/>
      <c r="H122" s="119"/>
      <c r="I122" s="54"/>
      <c r="J122" s="54"/>
      <c r="K122" s="54"/>
      <c r="L122" s="119"/>
      <c r="M122" s="54"/>
      <c r="N122" s="54"/>
      <c r="O122" s="54"/>
      <c r="P122" s="119"/>
      <c r="Q122" s="54"/>
      <c r="R122" s="180"/>
    </row>
    <row r="123" spans="1:18" s="38" customFormat="1" ht="15" x14ac:dyDescent="0.25">
      <c r="A123" s="25"/>
      <c r="B123" s="205" t="s">
        <v>143</v>
      </c>
      <c r="C123" s="64">
        <f t="shared" ref="C123:F123" si="26">G123+K123+O123</f>
        <v>0</v>
      </c>
      <c r="D123" s="64">
        <f t="shared" si="26"/>
        <v>0</v>
      </c>
      <c r="E123" s="64">
        <f t="shared" si="26"/>
        <v>0</v>
      </c>
      <c r="F123" s="64">
        <f t="shared" si="26"/>
        <v>0</v>
      </c>
      <c r="G123" s="47"/>
      <c r="H123" s="119"/>
      <c r="I123" s="54"/>
      <c r="J123" s="54"/>
      <c r="K123" s="54"/>
      <c r="L123" s="119"/>
      <c r="M123" s="54"/>
      <c r="N123" s="54"/>
      <c r="O123" s="54"/>
      <c r="P123" s="119"/>
      <c r="Q123" s="54"/>
      <c r="R123" s="180"/>
    </row>
    <row r="124" spans="1:18" s="38" customFormat="1" ht="13.9" customHeight="1" x14ac:dyDescent="0.2">
      <c r="A124" s="25"/>
      <c r="B124" s="48" t="s">
        <v>144</v>
      </c>
      <c r="C124" s="64">
        <f t="shared" si="22"/>
        <v>0</v>
      </c>
      <c r="D124" s="64">
        <f t="shared" si="22"/>
        <v>0</v>
      </c>
      <c r="E124" s="64">
        <f t="shared" si="22"/>
        <v>0</v>
      </c>
      <c r="F124" s="64">
        <f t="shared" si="22"/>
        <v>0</v>
      </c>
      <c r="G124" s="54"/>
      <c r="H124" s="119"/>
      <c r="I124" s="54"/>
      <c r="J124" s="54"/>
      <c r="K124" s="54"/>
      <c r="L124" s="119"/>
      <c r="M124" s="54"/>
      <c r="N124" s="54"/>
      <c r="O124" s="54"/>
      <c r="P124" s="119"/>
      <c r="Q124" s="54"/>
      <c r="R124" s="180"/>
    </row>
    <row r="125" spans="1:18" s="38" customFormat="1" ht="38.25" x14ac:dyDescent="0.2">
      <c r="A125" s="25"/>
      <c r="B125" s="205" t="s">
        <v>145</v>
      </c>
      <c r="C125" s="64">
        <f>G125+K125+O125</f>
        <v>0</v>
      </c>
      <c r="D125" s="64">
        <f>H125+L125+P125</f>
        <v>0</v>
      </c>
      <c r="E125" s="64">
        <f>I125+M125+Q125</f>
        <v>0</v>
      </c>
      <c r="F125" s="64">
        <f>J125+N125+R125</f>
        <v>0</v>
      </c>
      <c r="G125" s="54"/>
      <c r="H125" s="119"/>
      <c r="I125" s="54"/>
      <c r="J125" s="54"/>
      <c r="K125" s="54"/>
      <c r="L125" s="119"/>
      <c r="M125" s="54"/>
      <c r="N125" s="54"/>
      <c r="O125" s="54"/>
      <c r="P125" s="119"/>
      <c r="Q125" s="54"/>
      <c r="R125" s="180"/>
    </row>
    <row r="126" spans="1:18" s="38" customFormat="1" x14ac:dyDescent="0.2">
      <c r="A126" s="25"/>
      <c r="B126" s="205" t="s">
        <v>146</v>
      </c>
      <c r="C126" s="64"/>
      <c r="D126" s="64"/>
      <c r="E126" s="64"/>
      <c r="F126" s="64"/>
      <c r="G126" s="54"/>
      <c r="H126" s="119"/>
      <c r="I126" s="54"/>
      <c r="J126" s="54"/>
      <c r="K126" s="54"/>
      <c r="L126" s="119"/>
      <c r="M126" s="54"/>
      <c r="N126" s="54"/>
      <c r="O126" s="54"/>
      <c r="P126" s="119"/>
      <c r="Q126" s="54"/>
      <c r="R126" s="180"/>
    </row>
    <row r="127" spans="1:18" s="38" customFormat="1" x14ac:dyDescent="0.2">
      <c r="A127" s="25"/>
      <c r="B127" s="205" t="s">
        <v>147</v>
      </c>
      <c r="C127" s="64"/>
      <c r="D127" s="64"/>
      <c r="E127" s="64"/>
      <c r="F127" s="64"/>
      <c r="G127" s="54"/>
      <c r="H127" s="119"/>
      <c r="I127" s="54"/>
      <c r="J127" s="54"/>
      <c r="K127" s="54"/>
      <c r="L127" s="119"/>
      <c r="M127" s="54"/>
      <c r="N127" s="54"/>
      <c r="O127" s="54"/>
      <c r="P127" s="119"/>
      <c r="Q127" s="54"/>
      <c r="R127" s="180"/>
    </row>
    <row r="128" spans="1:18" s="38" customFormat="1" x14ac:dyDescent="0.2">
      <c r="A128" s="25"/>
      <c r="B128" s="205" t="s">
        <v>148</v>
      </c>
      <c r="C128" s="64"/>
      <c r="D128" s="64"/>
      <c r="E128" s="64"/>
      <c r="F128" s="64"/>
      <c r="G128" s="54"/>
      <c r="H128" s="119"/>
      <c r="I128" s="54"/>
      <c r="J128" s="54"/>
      <c r="K128" s="54"/>
      <c r="L128" s="119"/>
      <c r="M128" s="54"/>
      <c r="N128" s="54"/>
      <c r="O128" s="54"/>
      <c r="P128" s="119"/>
      <c r="Q128" s="54"/>
      <c r="R128" s="180"/>
    </row>
    <row r="129" spans="1:18" s="53" customFormat="1" ht="25.5" x14ac:dyDescent="0.2">
      <c r="A129" s="25"/>
      <c r="B129" s="205" t="s">
        <v>149</v>
      </c>
      <c r="C129" s="64">
        <f t="shared" ref="C129:F132" si="27">G129+K129+O129</f>
        <v>0</v>
      </c>
      <c r="D129" s="64">
        <f t="shared" si="27"/>
        <v>0</v>
      </c>
      <c r="E129" s="64">
        <f t="shared" si="27"/>
        <v>0</v>
      </c>
      <c r="F129" s="64">
        <f t="shared" si="27"/>
        <v>0</v>
      </c>
      <c r="G129" s="54"/>
      <c r="H129" s="119"/>
      <c r="I129" s="54"/>
      <c r="J129" s="54"/>
      <c r="K129" s="54"/>
      <c r="L129" s="119"/>
      <c r="M129" s="54"/>
      <c r="N129" s="54"/>
      <c r="O129" s="54"/>
      <c r="P129" s="119"/>
      <c r="Q129" s="54"/>
      <c r="R129" s="180"/>
    </row>
    <row r="130" spans="1:18" s="38" customFormat="1" x14ac:dyDescent="0.2">
      <c r="A130" s="25"/>
      <c r="B130" s="205" t="s">
        <v>150</v>
      </c>
      <c r="C130" s="64">
        <f t="shared" si="27"/>
        <v>1</v>
      </c>
      <c r="D130" s="64">
        <f t="shared" si="27"/>
        <v>15000</v>
      </c>
      <c r="E130" s="64">
        <f t="shared" si="27"/>
        <v>0</v>
      </c>
      <c r="F130" s="64">
        <f t="shared" si="27"/>
        <v>0</v>
      </c>
      <c r="G130" s="54">
        <v>1</v>
      </c>
      <c r="H130" s="119">
        <f>G130*15000</f>
        <v>15000</v>
      </c>
      <c r="I130" s="54"/>
      <c r="J130" s="54"/>
      <c r="K130" s="54"/>
      <c r="L130" s="119"/>
      <c r="M130" s="54"/>
      <c r="N130" s="54"/>
      <c r="O130" s="54"/>
      <c r="P130" s="119"/>
      <c r="Q130" s="54"/>
      <c r="R130" s="180"/>
    </row>
    <row r="131" spans="1:18" s="38" customFormat="1" x14ac:dyDescent="0.2">
      <c r="A131" s="25"/>
      <c r="B131" s="205" t="s">
        <v>151</v>
      </c>
      <c r="C131" s="64">
        <f t="shared" si="27"/>
        <v>0</v>
      </c>
      <c r="D131" s="64">
        <f t="shared" si="27"/>
        <v>0</v>
      </c>
      <c r="E131" s="64">
        <f t="shared" si="27"/>
        <v>0</v>
      </c>
      <c r="F131" s="64">
        <f t="shared" si="27"/>
        <v>0</v>
      </c>
      <c r="G131" s="54"/>
      <c r="H131" s="119"/>
      <c r="I131" s="54"/>
      <c r="J131" s="54"/>
      <c r="K131" s="54"/>
      <c r="L131" s="119"/>
      <c r="M131" s="54"/>
      <c r="N131" s="54"/>
      <c r="O131" s="54"/>
      <c r="P131" s="119"/>
      <c r="Q131" s="54"/>
      <c r="R131" s="180"/>
    </row>
    <row r="132" spans="1:18" s="38" customFormat="1" ht="15.75" thickBot="1" x14ac:dyDescent="0.3">
      <c r="A132" s="187"/>
      <c r="B132" s="188" t="s">
        <v>152</v>
      </c>
      <c r="C132" s="241">
        <f t="shared" si="27"/>
        <v>2</v>
      </c>
      <c r="D132" s="241">
        <f t="shared" si="27"/>
        <v>80000</v>
      </c>
      <c r="E132" s="241">
        <f t="shared" si="27"/>
        <v>0</v>
      </c>
      <c r="F132" s="241">
        <f t="shared" si="27"/>
        <v>0</v>
      </c>
      <c r="G132" s="202"/>
      <c r="H132" s="189"/>
      <c r="I132" s="202"/>
      <c r="J132" s="202"/>
      <c r="K132" s="120">
        <v>2</v>
      </c>
      <c r="L132" s="189">
        <f>K132*40000</f>
        <v>80000</v>
      </c>
      <c r="M132" s="202"/>
      <c r="N132" s="202"/>
      <c r="O132" s="202"/>
      <c r="P132" s="189"/>
      <c r="Q132" s="202"/>
      <c r="R132" s="191"/>
    </row>
    <row r="133" spans="1:18" ht="13.5" thickBot="1" x14ac:dyDescent="0.25">
      <c r="A133" s="171"/>
      <c r="B133" s="172" t="s">
        <v>160</v>
      </c>
      <c r="C133" s="173">
        <f t="shared" ref="C133:R133" si="28">SUM(C94:C132)</f>
        <v>3</v>
      </c>
      <c r="D133" s="173">
        <f t="shared" si="28"/>
        <v>95000</v>
      </c>
      <c r="E133" s="173">
        <f t="shared" si="28"/>
        <v>0</v>
      </c>
      <c r="F133" s="173">
        <f t="shared" si="28"/>
        <v>0</v>
      </c>
      <c r="G133" s="173">
        <f t="shared" si="28"/>
        <v>1</v>
      </c>
      <c r="H133" s="173">
        <f t="shared" si="28"/>
        <v>15000</v>
      </c>
      <c r="I133" s="173">
        <f t="shared" si="28"/>
        <v>0</v>
      </c>
      <c r="J133" s="173">
        <f t="shared" si="28"/>
        <v>0</v>
      </c>
      <c r="K133" s="173">
        <f t="shared" si="28"/>
        <v>2</v>
      </c>
      <c r="L133" s="173">
        <f t="shared" si="28"/>
        <v>80000</v>
      </c>
      <c r="M133" s="173">
        <f t="shared" si="28"/>
        <v>0</v>
      </c>
      <c r="N133" s="173">
        <f t="shared" si="28"/>
        <v>0</v>
      </c>
      <c r="O133" s="173">
        <f t="shared" si="28"/>
        <v>0</v>
      </c>
      <c r="P133" s="173">
        <f t="shared" si="28"/>
        <v>0</v>
      </c>
      <c r="Q133" s="173">
        <f t="shared" si="28"/>
        <v>0</v>
      </c>
      <c r="R133" s="173">
        <f t="shared" si="28"/>
        <v>0</v>
      </c>
    </row>
    <row r="134" spans="1:18" s="38" customFormat="1" x14ac:dyDescent="0.2">
      <c r="A134" s="210" t="s">
        <v>11</v>
      </c>
      <c r="B134" s="211" t="s">
        <v>153</v>
      </c>
      <c r="C134" s="213"/>
      <c r="D134" s="213"/>
      <c r="E134" s="213"/>
      <c r="F134" s="213"/>
      <c r="G134" s="213"/>
      <c r="H134" s="178"/>
      <c r="I134" s="213"/>
      <c r="J134" s="213"/>
      <c r="K134" s="213"/>
      <c r="L134" s="178"/>
      <c r="M134" s="213"/>
      <c r="N134" s="213"/>
      <c r="O134" s="213"/>
      <c r="P134" s="178"/>
      <c r="Q134" s="213"/>
      <c r="R134" s="214"/>
    </row>
    <row r="135" spans="1:18" s="38" customFormat="1" ht="25.5" x14ac:dyDescent="0.25">
      <c r="A135" s="25"/>
      <c r="B135" s="205" t="s">
        <v>163</v>
      </c>
      <c r="C135" s="64">
        <f t="shared" ref="C135:F148" si="29">G135+K135+O135</f>
        <v>86</v>
      </c>
      <c r="D135" s="64">
        <f t="shared" si="29"/>
        <v>68000</v>
      </c>
      <c r="E135" s="64">
        <f t="shared" si="29"/>
        <v>0</v>
      </c>
      <c r="F135" s="64">
        <f t="shared" si="29"/>
        <v>0</v>
      </c>
      <c r="G135" s="54">
        <v>14</v>
      </c>
      <c r="H135" s="119">
        <f>G135*11600/14</f>
        <v>11600</v>
      </c>
      <c r="I135" s="54"/>
      <c r="J135" s="54"/>
      <c r="K135" s="47">
        <v>40</v>
      </c>
      <c r="L135" s="47">
        <f>2400+25000</f>
        <v>27400</v>
      </c>
      <c r="M135" s="54"/>
      <c r="N135" s="54"/>
      <c r="O135" s="54">
        <v>32</v>
      </c>
      <c r="P135" s="119">
        <v>29000</v>
      </c>
      <c r="Q135" s="54"/>
      <c r="R135" s="180"/>
    </row>
    <row r="136" spans="1:18" s="38" customFormat="1" x14ac:dyDescent="0.2">
      <c r="A136" s="25"/>
      <c r="B136" s="205" t="s">
        <v>164</v>
      </c>
      <c r="C136" s="64">
        <f t="shared" si="29"/>
        <v>0</v>
      </c>
      <c r="D136" s="64">
        <f t="shared" si="29"/>
        <v>0</v>
      </c>
      <c r="E136" s="64">
        <f t="shared" si="29"/>
        <v>0</v>
      </c>
      <c r="F136" s="64">
        <f t="shared" si="29"/>
        <v>0</v>
      </c>
      <c r="G136" s="54"/>
      <c r="H136" s="119"/>
      <c r="I136" s="54"/>
      <c r="J136" s="54"/>
      <c r="K136" s="54"/>
      <c r="L136" s="119"/>
      <c r="M136" s="54"/>
      <c r="N136" s="54"/>
      <c r="O136" s="54"/>
      <c r="P136" s="119"/>
      <c r="Q136" s="54"/>
      <c r="R136" s="180"/>
    </row>
    <row r="137" spans="1:18" s="38" customFormat="1" ht="15" x14ac:dyDescent="0.25">
      <c r="A137" s="25"/>
      <c r="B137" s="205" t="s">
        <v>165</v>
      </c>
      <c r="C137" s="64">
        <f t="shared" si="29"/>
        <v>27</v>
      </c>
      <c r="D137" s="64">
        <f t="shared" si="29"/>
        <v>81892</v>
      </c>
      <c r="E137" s="64">
        <f t="shared" si="29"/>
        <v>0</v>
      </c>
      <c r="F137" s="64">
        <f t="shared" si="29"/>
        <v>0</v>
      </c>
      <c r="G137" s="54"/>
      <c r="H137" s="119"/>
      <c r="I137" s="54"/>
      <c r="J137" s="54"/>
      <c r="K137" s="54"/>
      <c r="L137" s="119"/>
      <c r="M137" s="54"/>
      <c r="N137" s="54"/>
      <c r="O137" s="47">
        <v>27</v>
      </c>
      <c r="P137" s="47">
        <v>81892</v>
      </c>
      <c r="Q137" s="54"/>
      <c r="R137" s="180"/>
    </row>
    <row r="138" spans="1:18" s="38" customFormat="1" ht="15" x14ac:dyDescent="0.25">
      <c r="A138" s="25"/>
      <c r="B138" s="205" t="s">
        <v>166</v>
      </c>
      <c r="C138" s="64">
        <f t="shared" si="29"/>
        <v>46</v>
      </c>
      <c r="D138" s="64">
        <f t="shared" si="29"/>
        <v>140275</v>
      </c>
      <c r="E138" s="64">
        <f t="shared" si="29"/>
        <v>0</v>
      </c>
      <c r="F138" s="64">
        <f t="shared" si="29"/>
        <v>0</v>
      </c>
      <c r="G138" s="47">
        <v>16</v>
      </c>
      <c r="H138" s="119">
        <f>G138*1650</f>
        <v>26400</v>
      </c>
      <c r="I138" s="54"/>
      <c r="J138" s="54"/>
      <c r="K138" s="47">
        <v>30</v>
      </c>
      <c r="L138" s="47">
        <v>113875</v>
      </c>
      <c r="M138" s="54"/>
      <c r="N138" s="54"/>
      <c r="O138" s="54"/>
      <c r="P138" s="119"/>
      <c r="Q138" s="54"/>
      <c r="R138" s="180"/>
    </row>
    <row r="139" spans="1:18" s="38" customFormat="1" ht="25.5" x14ac:dyDescent="0.2">
      <c r="A139" s="25"/>
      <c r="B139" s="205" t="s">
        <v>167</v>
      </c>
      <c r="C139" s="64">
        <f t="shared" si="29"/>
        <v>0</v>
      </c>
      <c r="D139" s="64">
        <f t="shared" si="29"/>
        <v>0</v>
      </c>
      <c r="E139" s="64">
        <f t="shared" si="29"/>
        <v>0</v>
      </c>
      <c r="F139" s="64">
        <f t="shared" si="29"/>
        <v>0</v>
      </c>
      <c r="G139" s="54"/>
      <c r="H139" s="119"/>
      <c r="I139" s="54"/>
      <c r="J139" s="54"/>
      <c r="K139" s="54"/>
      <c r="L139" s="119"/>
      <c r="M139" s="54"/>
      <c r="N139" s="54"/>
      <c r="O139" s="54"/>
      <c r="P139" s="119"/>
      <c r="Q139" s="54"/>
      <c r="R139" s="180"/>
    </row>
    <row r="140" spans="1:18" s="38" customFormat="1" x14ac:dyDescent="0.2">
      <c r="A140" s="25"/>
      <c r="B140" s="40" t="s">
        <v>168</v>
      </c>
      <c r="C140" s="64">
        <f t="shared" si="29"/>
        <v>0</v>
      </c>
      <c r="D140" s="64">
        <f t="shared" si="29"/>
        <v>0</v>
      </c>
      <c r="E140" s="64">
        <f t="shared" si="29"/>
        <v>0</v>
      </c>
      <c r="F140" s="64">
        <f t="shared" si="29"/>
        <v>0</v>
      </c>
      <c r="G140" s="54"/>
      <c r="H140" s="119"/>
      <c r="I140" s="54"/>
      <c r="J140" s="54"/>
      <c r="K140" s="54"/>
      <c r="L140" s="119"/>
      <c r="M140" s="54"/>
      <c r="N140" s="54"/>
      <c r="O140" s="54"/>
      <c r="P140" s="119"/>
      <c r="Q140" s="54"/>
      <c r="R140" s="180"/>
    </row>
    <row r="141" spans="1:18" s="38" customFormat="1" ht="15" x14ac:dyDescent="0.25">
      <c r="A141" s="25"/>
      <c r="B141" s="40" t="s">
        <v>169</v>
      </c>
      <c r="C141" s="64">
        <f t="shared" si="29"/>
        <v>5</v>
      </c>
      <c r="D141" s="64">
        <f t="shared" si="29"/>
        <v>30000</v>
      </c>
      <c r="E141" s="64">
        <f t="shared" si="29"/>
        <v>0</v>
      </c>
      <c r="F141" s="64">
        <f t="shared" si="29"/>
        <v>0</v>
      </c>
      <c r="G141" s="47"/>
      <c r="H141" s="119"/>
      <c r="I141" s="54"/>
      <c r="J141" s="54"/>
      <c r="K141" s="54">
        <v>5</v>
      </c>
      <c r="L141" s="119">
        <v>30000</v>
      </c>
      <c r="M141" s="54"/>
      <c r="N141" s="54"/>
      <c r="O141" s="54"/>
      <c r="P141" s="119"/>
      <c r="Q141" s="54"/>
      <c r="R141" s="180"/>
    </row>
    <row r="142" spans="1:18" s="38" customFormat="1" ht="25.9" customHeight="1" x14ac:dyDescent="0.2">
      <c r="A142" s="25"/>
      <c r="B142" s="40" t="s">
        <v>170</v>
      </c>
      <c r="C142" s="64">
        <f t="shared" si="29"/>
        <v>0</v>
      </c>
      <c r="D142" s="64">
        <f t="shared" si="29"/>
        <v>0</v>
      </c>
      <c r="E142" s="64">
        <f t="shared" si="29"/>
        <v>0</v>
      </c>
      <c r="F142" s="64">
        <f t="shared" si="29"/>
        <v>0</v>
      </c>
      <c r="G142" s="54"/>
      <c r="H142" s="119"/>
      <c r="I142" s="54"/>
      <c r="J142" s="54"/>
      <c r="K142" s="54"/>
      <c r="L142" s="119"/>
      <c r="M142" s="54"/>
      <c r="N142" s="54"/>
      <c r="O142" s="54"/>
      <c r="P142" s="119"/>
      <c r="Q142" s="54"/>
      <c r="R142" s="180"/>
    </row>
    <row r="143" spans="1:18" s="38" customFormat="1" ht="25.9" customHeight="1" x14ac:dyDescent="0.2">
      <c r="A143" s="25"/>
      <c r="B143" s="40" t="s">
        <v>277</v>
      </c>
      <c r="C143" s="64"/>
      <c r="D143" s="64"/>
      <c r="E143" s="64"/>
      <c r="F143" s="64"/>
      <c r="G143" s="54"/>
      <c r="H143" s="119"/>
      <c r="I143" s="54"/>
      <c r="J143" s="54"/>
      <c r="K143" s="54"/>
      <c r="L143" s="119"/>
      <c r="M143" s="54"/>
      <c r="N143" s="54"/>
      <c r="O143" s="54"/>
      <c r="P143" s="119"/>
      <c r="Q143" s="54"/>
      <c r="R143" s="180"/>
    </row>
    <row r="144" spans="1:18" s="38" customFormat="1" ht="25.9" customHeight="1" x14ac:dyDescent="0.2">
      <c r="A144" s="25"/>
      <c r="B144" s="40" t="s">
        <v>278</v>
      </c>
      <c r="C144" s="64"/>
      <c r="D144" s="64"/>
      <c r="E144" s="64"/>
      <c r="F144" s="64"/>
      <c r="G144" s="54"/>
      <c r="H144" s="119"/>
      <c r="I144" s="54"/>
      <c r="J144" s="54"/>
      <c r="K144" s="54"/>
      <c r="L144" s="119"/>
      <c r="M144" s="54"/>
      <c r="N144" s="54"/>
      <c r="O144" s="54"/>
      <c r="P144" s="119"/>
      <c r="Q144" s="54"/>
      <c r="R144" s="180"/>
    </row>
    <row r="145" spans="1:18" s="38" customFormat="1" x14ac:dyDescent="0.2">
      <c r="A145" s="25"/>
      <c r="B145" s="40" t="s">
        <v>171</v>
      </c>
      <c r="C145" s="64">
        <f t="shared" si="29"/>
        <v>0</v>
      </c>
      <c r="D145" s="64">
        <f t="shared" si="29"/>
        <v>0</v>
      </c>
      <c r="E145" s="64">
        <f t="shared" si="29"/>
        <v>0</v>
      </c>
      <c r="F145" s="64">
        <f t="shared" si="29"/>
        <v>0</v>
      </c>
      <c r="G145" s="54"/>
      <c r="H145" s="119"/>
      <c r="I145" s="54"/>
      <c r="J145" s="54"/>
      <c r="K145" s="54"/>
      <c r="L145" s="119"/>
      <c r="M145" s="54"/>
      <c r="N145" s="54"/>
      <c r="O145" s="54"/>
      <c r="P145" s="119"/>
      <c r="Q145" s="54"/>
      <c r="R145" s="180"/>
    </row>
    <row r="146" spans="1:18" s="38" customFormat="1" x14ac:dyDescent="0.2">
      <c r="A146" s="25"/>
      <c r="B146" s="24" t="s">
        <v>172</v>
      </c>
      <c r="C146" s="64">
        <f t="shared" si="29"/>
        <v>0</v>
      </c>
      <c r="D146" s="64">
        <f t="shared" si="29"/>
        <v>0</v>
      </c>
      <c r="E146" s="64">
        <f t="shared" si="29"/>
        <v>0</v>
      </c>
      <c r="F146" s="64">
        <f t="shared" si="29"/>
        <v>0</v>
      </c>
      <c r="G146" s="54"/>
      <c r="H146" s="119"/>
      <c r="I146" s="54"/>
      <c r="J146" s="54"/>
      <c r="K146" s="54"/>
      <c r="L146" s="119"/>
      <c r="M146" s="54"/>
      <c r="N146" s="54"/>
      <c r="O146" s="54"/>
      <c r="P146" s="119"/>
      <c r="Q146" s="54"/>
      <c r="R146" s="180"/>
    </row>
    <row r="147" spans="1:18" s="38" customFormat="1" x14ac:dyDescent="0.2">
      <c r="A147" s="25"/>
      <c r="B147" s="40" t="s">
        <v>173</v>
      </c>
      <c r="C147" s="64">
        <f t="shared" si="29"/>
        <v>0</v>
      </c>
      <c r="D147" s="64">
        <f t="shared" si="29"/>
        <v>0</v>
      </c>
      <c r="E147" s="64">
        <f t="shared" si="29"/>
        <v>0</v>
      </c>
      <c r="F147" s="64">
        <f t="shared" si="29"/>
        <v>0</v>
      </c>
      <c r="G147" s="54"/>
      <c r="H147" s="119"/>
      <c r="I147" s="54"/>
      <c r="J147" s="54"/>
      <c r="K147" s="54"/>
      <c r="L147" s="119"/>
      <c r="M147" s="54"/>
      <c r="N147" s="54"/>
      <c r="O147" s="54"/>
      <c r="P147" s="119"/>
      <c r="Q147" s="54"/>
      <c r="R147" s="180"/>
    </row>
    <row r="148" spans="1:18" s="38" customFormat="1" ht="41.45" customHeight="1" x14ac:dyDescent="0.25">
      <c r="A148" s="25"/>
      <c r="B148" s="40" t="s">
        <v>174</v>
      </c>
      <c r="C148" s="64">
        <f t="shared" si="29"/>
        <v>0</v>
      </c>
      <c r="D148" s="64">
        <f t="shared" si="29"/>
        <v>0</v>
      </c>
      <c r="E148" s="64">
        <f t="shared" si="29"/>
        <v>0</v>
      </c>
      <c r="F148" s="64">
        <f t="shared" si="29"/>
        <v>0</v>
      </c>
      <c r="G148" s="47"/>
      <c r="H148" s="119"/>
      <c r="I148" s="54"/>
      <c r="J148" s="54"/>
      <c r="K148" s="54"/>
      <c r="L148" s="119"/>
      <c r="M148" s="54"/>
      <c r="N148" s="54"/>
      <c r="O148" s="54"/>
      <c r="P148" s="119"/>
      <c r="Q148" s="54"/>
      <c r="R148" s="180"/>
    </row>
    <row r="149" spans="1:18" s="38" customFormat="1" ht="21" customHeight="1" x14ac:dyDescent="0.25">
      <c r="A149" s="25"/>
      <c r="B149" s="40" t="s">
        <v>175</v>
      </c>
      <c r="C149" s="64">
        <f t="shared" ref="C149:F151" si="30">G149+K149+O149</f>
        <v>0</v>
      </c>
      <c r="D149" s="64">
        <f t="shared" si="30"/>
        <v>0</v>
      </c>
      <c r="E149" s="64">
        <f t="shared" si="30"/>
        <v>0</v>
      </c>
      <c r="F149" s="64">
        <f t="shared" si="30"/>
        <v>0</v>
      </c>
      <c r="G149" s="47"/>
      <c r="H149" s="119"/>
      <c r="I149" s="54"/>
      <c r="J149" s="54"/>
      <c r="K149" s="54"/>
      <c r="L149" s="119"/>
      <c r="M149" s="54"/>
      <c r="N149" s="54"/>
      <c r="O149" s="54"/>
      <c r="P149" s="119"/>
      <c r="Q149" s="54"/>
      <c r="R149" s="180"/>
    </row>
    <row r="150" spans="1:18" s="38" customFormat="1" ht="27.75" customHeight="1" x14ac:dyDescent="0.2">
      <c r="A150" s="25"/>
      <c r="B150" s="40" t="s">
        <v>176</v>
      </c>
      <c r="C150" s="64">
        <f t="shared" si="30"/>
        <v>0</v>
      </c>
      <c r="D150" s="64">
        <f t="shared" si="30"/>
        <v>0</v>
      </c>
      <c r="E150" s="64">
        <f t="shared" si="30"/>
        <v>0</v>
      </c>
      <c r="F150" s="64">
        <f t="shared" si="30"/>
        <v>0</v>
      </c>
      <c r="G150" s="54"/>
      <c r="H150" s="119"/>
      <c r="I150" s="54"/>
      <c r="J150" s="54"/>
      <c r="K150" s="54"/>
      <c r="L150" s="119"/>
      <c r="M150" s="54"/>
      <c r="N150" s="54"/>
      <c r="O150" s="54"/>
      <c r="P150" s="119"/>
      <c r="Q150" s="54"/>
      <c r="R150" s="180"/>
    </row>
    <row r="151" spans="1:18" s="38" customFormat="1" x14ac:dyDescent="0.2">
      <c r="A151" s="25"/>
      <c r="B151" s="321" t="s">
        <v>177</v>
      </c>
      <c r="C151" s="64">
        <f t="shared" si="30"/>
        <v>0</v>
      </c>
      <c r="D151" s="64">
        <f t="shared" si="30"/>
        <v>0</v>
      </c>
      <c r="E151" s="64">
        <f t="shared" si="30"/>
        <v>0</v>
      </c>
      <c r="F151" s="64">
        <f t="shared" si="30"/>
        <v>0</v>
      </c>
      <c r="G151" s="54"/>
      <c r="H151" s="119"/>
      <c r="I151" s="54"/>
      <c r="J151" s="54"/>
      <c r="K151" s="54"/>
      <c r="L151" s="119"/>
      <c r="M151" s="54"/>
      <c r="N151" s="54"/>
      <c r="O151" s="54"/>
      <c r="P151" s="119"/>
      <c r="Q151" s="54"/>
      <c r="R151" s="180"/>
    </row>
    <row r="152" spans="1:18" s="38" customFormat="1" ht="25.5" x14ac:dyDescent="0.2">
      <c r="A152" s="25"/>
      <c r="B152" s="144" t="s">
        <v>178</v>
      </c>
      <c r="C152" s="64"/>
      <c r="D152" s="64"/>
      <c r="E152" s="64"/>
      <c r="F152" s="64"/>
      <c r="G152" s="54"/>
      <c r="H152" s="119"/>
      <c r="I152" s="54"/>
      <c r="J152" s="54"/>
      <c r="K152" s="54"/>
      <c r="L152" s="119"/>
      <c r="M152" s="54"/>
      <c r="N152" s="54"/>
      <c r="O152" s="54"/>
      <c r="P152" s="119"/>
      <c r="Q152" s="54"/>
      <c r="R152" s="180"/>
    </row>
    <row r="153" spans="1:18" s="38" customFormat="1" x14ac:dyDescent="0.2">
      <c r="A153" s="25"/>
      <c r="B153" s="319" t="s">
        <v>179</v>
      </c>
      <c r="C153" s="64">
        <f t="shared" ref="C153:F154" si="31">G153+K153+O153</f>
        <v>0</v>
      </c>
      <c r="D153" s="64">
        <f t="shared" si="31"/>
        <v>0</v>
      </c>
      <c r="E153" s="64">
        <f t="shared" si="31"/>
        <v>0</v>
      </c>
      <c r="F153" s="64">
        <f t="shared" si="31"/>
        <v>0</v>
      </c>
      <c r="G153" s="54"/>
      <c r="H153" s="119"/>
      <c r="I153" s="54"/>
      <c r="J153" s="54"/>
      <c r="K153" s="54"/>
      <c r="L153" s="119"/>
      <c r="M153" s="54"/>
      <c r="N153" s="54"/>
      <c r="O153" s="54"/>
      <c r="P153" s="119"/>
      <c r="Q153" s="54"/>
      <c r="R153" s="180"/>
    </row>
    <row r="154" spans="1:18" s="38" customFormat="1" ht="25.5" x14ac:dyDescent="0.2">
      <c r="A154" s="25"/>
      <c r="B154" s="24" t="s">
        <v>180</v>
      </c>
      <c r="C154" s="64">
        <f t="shared" si="31"/>
        <v>0</v>
      </c>
      <c r="D154" s="64">
        <f t="shared" si="31"/>
        <v>0</v>
      </c>
      <c r="E154" s="64">
        <f t="shared" si="31"/>
        <v>0</v>
      </c>
      <c r="F154" s="64">
        <f t="shared" si="31"/>
        <v>0</v>
      </c>
      <c r="G154" s="54"/>
      <c r="H154" s="119"/>
      <c r="I154" s="54"/>
      <c r="J154" s="54"/>
      <c r="K154" s="54"/>
      <c r="L154" s="119"/>
      <c r="M154" s="54"/>
      <c r="N154" s="54"/>
      <c r="O154" s="54"/>
      <c r="P154" s="119"/>
      <c r="Q154" s="54"/>
      <c r="R154" s="180"/>
    </row>
    <row r="155" spans="1:18" s="38" customFormat="1" x14ac:dyDescent="0.2">
      <c r="A155" s="25"/>
      <c r="B155" s="24" t="s">
        <v>181</v>
      </c>
      <c r="C155" s="64"/>
      <c r="D155" s="64"/>
      <c r="E155" s="64"/>
      <c r="F155" s="64"/>
      <c r="G155" s="54"/>
      <c r="H155" s="119"/>
      <c r="I155" s="54"/>
      <c r="J155" s="54"/>
      <c r="K155" s="54"/>
      <c r="L155" s="119"/>
      <c r="M155" s="54"/>
      <c r="N155" s="54"/>
      <c r="O155" s="54"/>
      <c r="P155" s="119"/>
      <c r="Q155" s="54"/>
      <c r="R155" s="180"/>
    </row>
    <row r="156" spans="1:18" s="38" customFormat="1" ht="25.5" x14ac:dyDescent="0.2">
      <c r="A156" s="25"/>
      <c r="B156" s="24" t="s">
        <v>182</v>
      </c>
      <c r="C156" s="64">
        <f>G156+K156+O156</f>
        <v>0</v>
      </c>
      <c r="D156" s="64">
        <f>H156+L156+P156</f>
        <v>0</v>
      </c>
      <c r="E156" s="64">
        <f>I156+M156+Q156</f>
        <v>0</v>
      </c>
      <c r="F156" s="64">
        <f>J156+N156+R156</f>
        <v>0</v>
      </c>
      <c r="G156" s="54"/>
      <c r="H156" s="119"/>
      <c r="I156" s="54"/>
      <c r="J156" s="54"/>
      <c r="K156" s="54"/>
      <c r="L156" s="119"/>
      <c r="M156" s="54"/>
      <c r="N156" s="54"/>
      <c r="O156" s="54"/>
      <c r="P156" s="119"/>
      <c r="Q156" s="54"/>
      <c r="R156" s="180"/>
    </row>
    <row r="157" spans="1:18" s="38" customFormat="1" x14ac:dyDescent="0.2">
      <c r="A157" s="25"/>
      <c r="B157" s="24" t="s">
        <v>183</v>
      </c>
      <c r="C157" s="64">
        <f t="shared" ref="C157:C162" si="32">G157+K157+O157</f>
        <v>0</v>
      </c>
      <c r="D157" s="64">
        <f t="shared" ref="D157:F162" si="33">H157+L157+P157</f>
        <v>0</v>
      </c>
      <c r="E157" s="64">
        <f t="shared" si="33"/>
        <v>0</v>
      </c>
      <c r="F157" s="64">
        <f t="shared" si="33"/>
        <v>0</v>
      </c>
      <c r="G157" s="54"/>
      <c r="H157" s="119"/>
      <c r="I157" s="54"/>
      <c r="J157" s="54"/>
      <c r="K157" s="54"/>
      <c r="L157" s="119"/>
      <c r="M157" s="54"/>
      <c r="N157" s="54"/>
      <c r="O157" s="54"/>
      <c r="P157" s="119"/>
      <c r="Q157" s="54"/>
      <c r="R157" s="180"/>
    </row>
    <row r="158" spans="1:18" s="38" customFormat="1" ht="25.5" x14ac:dyDescent="0.2">
      <c r="A158" s="25"/>
      <c r="B158" s="24" t="s">
        <v>184</v>
      </c>
      <c r="C158" s="64">
        <f t="shared" si="32"/>
        <v>0</v>
      </c>
      <c r="D158" s="64">
        <f t="shared" si="33"/>
        <v>0</v>
      </c>
      <c r="E158" s="64">
        <f t="shared" si="33"/>
        <v>0</v>
      </c>
      <c r="F158" s="64">
        <f t="shared" si="33"/>
        <v>0</v>
      </c>
      <c r="G158" s="54"/>
      <c r="H158" s="119"/>
      <c r="I158" s="54"/>
      <c r="J158" s="54"/>
      <c r="K158" s="54"/>
      <c r="L158" s="119"/>
      <c r="M158" s="54"/>
      <c r="N158" s="54"/>
      <c r="O158" s="54"/>
      <c r="P158" s="119"/>
      <c r="Q158" s="54"/>
      <c r="R158" s="180"/>
    </row>
    <row r="159" spans="1:18" s="38" customFormat="1" ht="25.5" x14ac:dyDescent="0.2">
      <c r="A159" s="25"/>
      <c r="B159" s="24" t="s">
        <v>185</v>
      </c>
      <c r="C159" s="64">
        <f t="shared" si="32"/>
        <v>0</v>
      </c>
      <c r="D159" s="64">
        <f t="shared" si="33"/>
        <v>0</v>
      </c>
      <c r="E159" s="64">
        <f t="shared" si="33"/>
        <v>0</v>
      </c>
      <c r="F159" s="64">
        <f t="shared" si="33"/>
        <v>0</v>
      </c>
      <c r="G159" s="54"/>
      <c r="H159" s="119"/>
      <c r="I159" s="54"/>
      <c r="J159" s="54"/>
      <c r="K159" s="54"/>
      <c r="L159" s="119"/>
      <c r="M159" s="54"/>
      <c r="N159" s="54"/>
      <c r="O159" s="54"/>
      <c r="P159" s="119"/>
      <c r="Q159" s="54"/>
      <c r="R159" s="180"/>
    </row>
    <row r="160" spans="1:18" s="38" customFormat="1" x14ac:dyDescent="0.2">
      <c r="A160" s="25"/>
      <c r="B160" s="319" t="s">
        <v>186</v>
      </c>
      <c r="C160" s="64">
        <f t="shared" si="32"/>
        <v>2</v>
      </c>
      <c r="D160" s="64">
        <f t="shared" si="33"/>
        <v>40000</v>
      </c>
      <c r="E160" s="64">
        <f t="shared" si="33"/>
        <v>0</v>
      </c>
      <c r="F160" s="64">
        <f t="shared" si="33"/>
        <v>0</v>
      </c>
      <c r="G160" s="54">
        <v>1</v>
      </c>
      <c r="H160" s="119">
        <f>G160*20000</f>
        <v>20000</v>
      </c>
      <c r="I160" s="54"/>
      <c r="J160" s="54"/>
      <c r="K160" s="54">
        <v>1</v>
      </c>
      <c r="L160" s="119">
        <v>20000</v>
      </c>
      <c r="M160" s="54"/>
      <c r="N160" s="54"/>
      <c r="O160" s="54"/>
      <c r="P160" s="119"/>
      <c r="Q160" s="54"/>
      <c r="R160" s="180"/>
    </row>
    <row r="161" spans="1:18" s="38" customFormat="1" ht="25.5" x14ac:dyDescent="0.2">
      <c r="A161" s="25"/>
      <c r="B161" s="24" t="s">
        <v>187</v>
      </c>
      <c r="C161" s="64">
        <f t="shared" si="32"/>
        <v>0</v>
      </c>
      <c r="D161" s="64">
        <f t="shared" si="33"/>
        <v>0</v>
      </c>
      <c r="E161" s="64">
        <f t="shared" si="33"/>
        <v>0</v>
      </c>
      <c r="F161" s="64">
        <f t="shared" si="33"/>
        <v>0</v>
      </c>
      <c r="G161" s="54"/>
      <c r="H161" s="119"/>
      <c r="I161" s="54"/>
      <c r="J161" s="54"/>
      <c r="K161" s="54"/>
      <c r="L161" s="119"/>
      <c r="M161" s="54"/>
      <c r="N161" s="54"/>
      <c r="O161" s="54"/>
      <c r="P161" s="119"/>
      <c r="Q161" s="54"/>
      <c r="R161" s="180"/>
    </row>
    <row r="162" spans="1:18" s="38" customFormat="1" ht="25.5" x14ac:dyDescent="0.2">
      <c r="A162" s="25"/>
      <c r="B162" s="24" t="s">
        <v>188</v>
      </c>
      <c r="C162" s="64">
        <f t="shared" si="32"/>
        <v>0</v>
      </c>
      <c r="D162" s="64">
        <f t="shared" si="33"/>
        <v>0</v>
      </c>
      <c r="E162" s="64">
        <f t="shared" si="33"/>
        <v>0</v>
      </c>
      <c r="F162" s="64">
        <f t="shared" si="33"/>
        <v>0</v>
      </c>
      <c r="G162" s="54"/>
      <c r="H162" s="119"/>
      <c r="I162" s="54"/>
      <c r="J162" s="54"/>
      <c r="K162" s="54"/>
      <c r="L162" s="119"/>
      <c r="M162" s="54"/>
      <c r="N162" s="54"/>
      <c r="O162" s="54"/>
      <c r="P162" s="119"/>
      <c r="Q162" s="54"/>
      <c r="R162" s="180"/>
    </row>
    <row r="163" spans="1:18" s="38" customFormat="1" x14ac:dyDescent="0.2">
      <c r="A163" s="25"/>
      <c r="B163" s="24" t="s">
        <v>189</v>
      </c>
      <c r="C163" s="64"/>
      <c r="D163" s="64"/>
      <c r="E163" s="64"/>
      <c r="F163" s="64"/>
      <c r="G163" s="54"/>
      <c r="H163" s="119"/>
      <c r="I163" s="54"/>
      <c r="J163" s="54"/>
      <c r="K163" s="54"/>
      <c r="L163" s="119"/>
      <c r="M163" s="54"/>
      <c r="N163" s="54"/>
      <c r="O163" s="54"/>
      <c r="P163" s="119"/>
      <c r="Q163" s="54"/>
      <c r="R163" s="180"/>
    </row>
    <row r="164" spans="1:18" s="38" customFormat="1" x14ac:dyDescent="0.2">
      <c r="A164" s="25"/>
      <c r="B164" s="40" t="s">
        <v>190</v>
      </c>
      <c r="C164" s="64">
        <f t="shared" ref="C164:F165" si="34">G164+K164+O164</f>
        <v>0</v>
      </c>
      <c r="D164" s="64">
        <f t="shared" si="34"/>
        <v>0</v>
      </c>
      <c r="E164" s="64">
        <f t="shared" si="34"/>
        <v>0</v>
      </c>
      <c r="F164" s="64">
        <f t="shared" si="34"/>
        <v>0</v>
      </c>
      <c r="G164" s="54"/>
      <c r="H164" s="119"/>
      <c r="I164" s="54"/>
      <c r="J164" s="54"/>
      <c r="K164" s="54"/>
      <c r="L164" s="119"/>
      <c r="M164" s="54"/>
      <c r="N164" s="54"/>
      <c r="O164" s="54"/>
      <c r="P164" s="119"/>
      <c r="Q164" s="54"/>
      <c r="R164" s="180"/>
    </row>
    <row r="165" spans="1:18" s="38" customFormat="1" ht="18.600000000000001" customHeight="1" thickBot="1" x14ac:dyDescent="0.25">
      <c r="A165" s="25"/>
      <c r="B165" s="24" t="s">
        <v>191</v>
      </c>
      <c r="C165" s="64">
        <f t="shared" si="34"/>
        <v>1</v>
      </c>
      <c r="D165" s="64">
        <f t="shared" si="34"/>
        <v>10000</v>
      </c>
      <c r="E165" s="64">
        <f t="shared" si="34"/>
        <v>0</v>
      </c>
      <c r="F165" s="64">
        <f t="shared" si="34"/>
        <v>0</v>
      </c>
      <c r="G165" s="54"/>
      <c r="H165" s="119"/>
      <c r="I165" s="54"/>
      <c r="J165" s="54"/>
      <c r="K165" s="54">
        <v>1</v>
      </c>
      <c r="L165" s="119">
        <v>10000</v>
      </c>
      <c r="M165" s="54"/>
      <c r="N165" s="54"/>
      <c r="O165" s="54"/>
      <c r="P165" s="119"/>
      <c r="Q165" s="54"/>
      <c r="R165" s="180"/>
    </row>
    <row r="166" spans="1:18" ht="13.5" thickBot="1" x14ac:dyDescent="0.25">
      <c r="A166" s="108"/>
      <c r="B166" s="169" t="s">
        <v>161</v>
      </c>
      <c r="C166" s="170">
        <f t="shared" ref="C166:R166" si="35">SUM(C135:C165)</f>
        <v>167</v>
      </c>
      <c r="D166" s="170">
        <f t="shared" si="35"/>
        <v>370167</v>
      </c>
      <c r="E166" s="170">
        <f t="shared" si="35"/>
        <v>0</v>
      </c>
      <c r="F166" s="170">
        <f t="shared" si="35"/>
        <v>0</v>
      </c>
      <c r="G166" s="170">
        <f t="shared" si="35"/>
        <v>31</v>
      </c>
      <c r="H166" s="170">
        <f t="shared" si="35"/>
        <v>58000</v>
      </c>
      <c r="I166" s="170">
        <f t="shared" si="35"/>
        <v>0</v>
      </c>
      <c r="J166" s="170">
        <f t="shared" si="35"/>
        <v>0</v>
      </c>
      <c r="K166" s="170">
        <f t="shared" si="35"/>
        <v>77</v>
      </c>
      <c r="L166" s="170">
        <f t="shared" si="35"/>
        <v>201275</v>
      </c>
      <c r="M166" s="170">
        <f t="shared" si="35"/>
        <v>0</v>
      </c>
      <c r="N166" s="170">
        <f t="shared" si="35"/>
        <v>0</v>
      </c>
      <c r="O166" s="170">
        <f t="shared" si="35"/>
        <v>59</v>
      </c>
      <c r="P166" s="170">
        <f t="shared" si="35"/>
        <v>110892</v>
      </c>
      <c r="Q166" s="170">
        <f t="shared" si="35"/>
        <v>0</v>
      </c>
      <c r="R166" s="170">
        <f t="shared" si="35"/>
        <v>0</v>
      </c>
    </row>
    <row r="167" spans="1:18" s="38" customFormat="1" ht="13.5" thickBot="1" x14ac:dyDescent="0.25">
      <c r="A167" s="215"/>
      <c r="B167" s="253"/>
      <c r="C167" s="61"/>
      <c r="D167" s="217"/>
      <c r="E167" s="61"/>
      <c r="F167" s="61"/>
      <c r="G167" s="61"/>
      <c r="H167" s="217"/>
      <c r="I167" s="61"/>
      <c r="J167" s="61"/>
      <c r="K167" s="61"/>
      <c r="L167" s="217"/>
      <c r="M167" s="61"/>
      <c r="N167" s="61"/>
      <c r="O167" s="61"/>
      <c r="P167" s="217"/>
      <c r="Q167" s="61"/>
      <c r="R167" s="61"/>
    </row>
    <row r="168" spans="1:18" ht="16.5" thickBot="1" x14ac:dyDescent="0.3">
      <c r="A168" s="218"/>
      <c r="B168" s="219" t="s">
        <v>162</v>
      </c>
      <c r="C168" s="220">
        <f t="shared" ref="C168:R168" si="36">C12+C48+C60+C73+C77+C92+C133+C166</f>
        <v>537</v>
      </c>
      <c r="D168" s="220">
        <f t="shared" si="36"/>
        <v>7187967</v>
      </c>
      <c r="E168" s="220">
        <f t="shared" si="36"/>
        <v>0</v>
      </c>
      <c r="F168" s="220">
        <f t="shared" si="36"/>
        <v>0</v>
      </c>
      <c r="G168" s="220">
        <f t="shared" si="36"/>
        <v>194</v>
      </c>
      <c r="H168" s="220">
        <f t="shared" si="36"/>
        <v>2614800</v>
      </c>
      <c r="I168" s="220">
        <f t="shared" si="36"/>
        <v>0</v>
      </c>
      <c r="J168" s="220">
        <f t="shared" si="36"/>
        <v>0</v>
      </c>
      <c r="K168" s="220">
        <f t="shared" si="36"/>
        <v>175</v>
      </c>
      <c r="L168" s="220">
        <f t="shared" si="36"/>
        <v>2325275</v>
      </c>
      <c r="M168" s="220">
        <f t="shared" si="36"/>
        <v>0</v>
      </c>
      <c r="N168" s="220">
        <f t="shared" si="36"/>
        <v>0</v>
      </c>
      <c r="O168" s="220">
        <f t="shared" si="36"/>
        <v>167</v>
      </c>
      <c r="P168" s="220">
        <f t="shared" si="36"/>
        <v>2262892</v>
      </c>
      <c r="Q168" s="220">
        <f t="shared" si="36"/>
        <v>0</v>
      </c>
      <c r="R168" s="221">
        <f t="shared" si="36"/>
        <v>0</v>
      </c>
    </row>
    <row r="182" s="5" customFormat="1" x14ac:dyDescent="0.2"/>
    <row r="183" s="5" customFormat="1" x14ac:dyDescent="0.2"/>
  </sheetData>
  <mergeCells count="13">
    <mergeCell ref="O4:P4"/>
    <mergeCell ref="Q4:R4"/>
    <mergeCell ref="C3:D3"/>
    <mergeCell ref="E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H184"/>
  <sheetViews>
    <sheetView zoomScale="115" zoomScaleNormal="115" workbookViewId="0">
      <pane xSplit="2" ySplit="4" topLeftCell="C125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70.140625" style="9" customWidth="1"/>
    <col min="3" max="3" width="9.7109375" style="12" customWidth="1"/>
    <col min="4" max="4" width="14.28515625" style="13" customWidth="1"/>
    <col min="5" max="5" width="10.28515625" style="5" customWidth="1"/>
    <col min="6" max="6" width="14.7109375" style="5" customWidth="1"/>
    <col min="7" max="7" width="9.140625" style="5"/>
    <col min="9" max="16384" width="9.140625" style="5"/>
  </cols>
  <sheetData>
    <row r="1" spans="1:8" x14ac:dyDescent="0.2">
      <c r="A1" s="1"/>
      <c r="B1" s="14" t="s">
        <v>55</v>
      </c>
      <c r="C1" s="4"/>
      <c r="D1" s="3"/>
      <c r="H1" s="5"/>
    </row>
    <row r="2" spans="1:8" ht="13.5" thickBot="1" x14ac:dyDescent="0.25">
      <c r="A2" s="1"/>
      <c r="B2" s="2"/>
      <c r="C2" s="4"/>
      <c r="D2" s="3"/>
      <c r="F2" s="17" t="s">
        <v>236</v>
      </c>
      <c r="H2" s="5"/>
    </row>
    <row r="3" spans="1:8" s="6" customFormat="1" ht="16.5" thickBot="1" x14ac:dyDescent="0.3">
      <c r="A3" s="70"/>
      <c r="B3" s="71"/>
      <c r="C3" s="413" t="s">
        <v>56</v>
      </c>
      <c r="D3" s="415"/>
      <c r="E3" s="419" t="s">
        <v>56</v>
      </c>
      <c r="F3" s="420"/>
      <c r="G3" s="50" t="s">
        <v>60</v>
      </c>
    </row>
    <row r="4" spans="1:8" s="6" customFormat="1" ht="31.5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50"/>
    </row>
    <row r="5" spans="1:8" s="7" customFormat="1" ht="26.25" thickBot="1" x14ac:dyDescent="0.25">
      <c r="A5" s="257" t="s">
        <v>62</v>
      </c>
      <c r="B5" s="257" t="s">
        <v>63</v>
      </c>
      <c r="C5" s="162" t="s">
        <v>57</v>
      </c>
      <c r="D5" s="158" t="s">
        <v>58</v>
      </c>
      <c r="E5" s="162" t="s">
        <v>57</v>
      </c>
      <c r="F5" s="158" t="s">
        <v>58</v>
      </c>
      <c r="G5" s="51"/>
    </row>
    <row r="6" spans="1:8" s="9" customFormat="1" x14ac:dyDescent="0.2">
      <c r="A6" s="175" t="s">
        <v>2</v>
      </c>
      <c r="B6" s="176" t="s">
        <v>3</v>
      </c>
      <c r="C6" s="177"/>
      <c r="D6" s="178"/>
      <c r="E6" s="177"/>
      <c r="F6" s="179"/>
    </row>
    <row r="7" spans="1:8" x14ac:dyDescent="0.2">
      <c r="A7" s="25"/>
      <c r="B7" s="48" t="s">
        <v>18</v>
      </c>
      <c r="C7" s="54"/>
      <c r="D7" s="119"/>
      <c r="E7" s="54"/>
      <c r="F7" s="180"/>
      <c r="H7" s="5"/>
    </row>
    <row r="8" spans="1:8" x14ac:dyDescent="0.2">
      <c r="A8" s="25"/>
      <c r="B8" s="48" t="s">
        <v>4</v>
      </c>
      <c r="C8" s="54"/>
      <c r="D8" s="119"/>
      <c r="E8" s="54"/>
      <c r="F8" s="180"/>
      <c r="H8" s="5"/>
    </row>
    <row r="9" spans="1:8" x14ac:dyDescent="0.2">
      <c r="A9" s="25"/>
      <c r="B9" s="48" t="s">
        <v>17</v>
      </c>
      <c r="C9" s="54"/>
      <c r="D9" s="119"/>
      <c r="E9" s="54"/>
      <c r="F9" s="180"/>
      <c r="H9" s="5"/>
    </row>
    <row r="10" spans="1:8" x14ac:dyDescent="0.2">
      <c r="A10" s="25"/>
      <c r="B10" s="48" t="s">
        <v>15</v>
      </c>
      <c r="C10" s="54">
        <v>1</v>
      </c>
      <c r="D10" s="119">
        <v>260000</v>
      </c>
      <c r="E10" s="54"/>
      <c r="F10" s="180"/>
      <c r="H10" s="5"/>
    </row>
    <row r="11" spans="1:8" ht="13.5" thickBot="1" x14ac:dyDescent="0.25">
      <c r="A11" s="187"/>
      <c r="B11" s="188" t="s">
        <v>16</v>
      </c>
      <c r="C11" s="202">
        <v>1</v>
      </c>
      <c r="D11" s="189">
        <v>200000</v>
      </c>
      <c r="E11" s="202"/>
      <c r="F11" s="191"/>
      <c r="H11" s="5"/>
    </row>
    <row r="12" spans="1:8" s="9" customFormat="1" ht="13.5" thickBot="1" x14ac:dyDescent="0.25">
      <c r="A12" s="171"/>
      <c r="B12" s="172" t="s">
        <v>155</v>
      </c>
      <c r="C12" s="173">
        <f>SUM(C7:C11)</f>
        <v>2</v>
      </c>
      <c r="D12" s="173">
        <f>SUM(D7:D11)</f>
        <v>460000</v>
      </c>
      <c r="E12" s="173">
        <f>SUM(E7:E11)</f>
        <v>0</v>
      </c>
      <c r="F12" s="174">
        <f>SUM(F7:F11)</f>
        <v>0</v>
      </c>
    </row>
    <row r="13" spans="1:8" s="52" customFormat="1" x14ac:dyDescent="0.2">
      <c r="A13" s="175" t="s">
        <v>5</v>
      </c>
      <c r="B13" s="176" t="s">
        <v>89</v>
      </c>
      <c r="C13" s="177"/>
      <c r="D13" s="178"/>
      <c r="E13" s="177"/>
      <c r="F13" s="179"/>
    </row>
    <row r="14" spans="1:8" s="52" customFormat="1" x14ac:dyDescent="0.2">
      <c r="A14" s="25"/>
      <c r="B14" s="209" t="s">
        <v>19</v>
      </c>
      <c r="C14" s="54">
        <v>6</v>
      </c>
      <c r="D14" s="119">
        <f>C14*3000</f>
        <v>18000</v>
      </c>
      <c r="E14" s="54"/>
      <c r="F14" s="180"/>
    </row>
    <row r="15" spans="1:8" s="52" customFormat="1" x14ac:dyDescent="0.2">
      <c r="A15" s="25"/>
      <c r="B15" s="209" t="s">
        <v>20</v>
      </c>
      <c r="C15" s="54">
        <v>1</v>
      </c>
      <c r="D15" s="119">
        <f>C15*11000</f>
        <v>11000</v>
      </c>
      <c r="E15" s="54"/>
      <c r="F15" s="180"/>
    </row>
    <row r="16" spans="1:8" s="52" customFormat="1" x14ac:dyDescent="0.2">
      <c r="A16" s="25"/>
      <c r="B16" s="318" t="s">
        <v>21</v>
      </c>
      <c r="C16" s="54"/>
      <c r="D16" s="119"/>
      <c r="E16" s="54"/>
      <c r="F16" s="180"/>
    </row>
    <row r="17" spans="1:6" s="52" customFormat="1" x14ac:dyDescent="0.2">
      <c r="A17" s="25"/>
      <c r="B17" s="318" t="s">
        <v>23</v>
      </c>
      <c r="C17" s="54"/>
      <c r="D17" s="119"/>
      <c r="E17" s="54"/>
      <c r="F17" s="180"/>
    </row>
    <row r="18" spans="1:6" s="38" customFormat="1" x14ac:dyDescent="0.2">
      <c r="A18" s="25"/>
      <c r="B18" s="318" t="s">
        <v>24</v>
      </c>
      <c r="C18" s="54"/>
      <c r="D18" s="119"/>
      <c r="E18" s="54"/>
      <c r="F18" s="180"/>
    </row>
    <row r="19" spans="1:6" s="38" customFormat="1" ht="15" x14ac:dyDescent="0.25">
      <c r="A19" s="25"/>
      <c r="B19" s="48" t="s">
        <v>25</v>
      </c>
      <c r="C19" s="47"/>
      <c r="D19" s="119"/>
      <c r="E19" s="54"/>
      <c r="F19" s="180"/>
    </row>
    <row r="20" spans="1:6" s="38" customFormat="1" x14ac:dyDescent="0.2">
      <c r="A20" s="25"/>
      <c r="B20" s="209" t="s">
        <v>26</v>
      </c>
      <c r="C20" s="54"/>
      <c r="D20" s="119"/>
      <c r="E20" s="54"/>
      <c r="F20" s="180"/>
    </row>
    <row r="21" spans="1:6" s="38" customFormat="1" x14ac:dyDescent="0.2">
      <c r="A21" s="25"/>
      <c r="B21" s="209" t="s">
        <v>27</v>
      </c>
      <c r="C21" s="54">
        <v>10</v>
      </c>
      <c r="D21" s="119">
        <f>C21*1500</f>
        <v>15000</v>
      </c>
      <c r="E21" s="54"/>
      <c r="F21" s="180"/>
    </row>
    <row r="22" spans="1:6" s="38" customFormat="1" x14ac:dyDescent="0.2">
      <c r="A22" s="25"/>
      <c r="B22" s="48" t="s">
        <v>28</v>
      </c>
      <c r="C22" s="54"/>
      <c r="D22" s="119"/>
      <c r="E22" s="54"/>
      <c r="F22" s="180"/>
    </row>
    <row r="23" spans="1:6" s="38" customFormat="1" x14ac:dyDescent="0.2">
      <c r="A23" s="25"/>
      <c r="B23" s="48" t="s">
        <v>29</v>
      </c>
      <c r="C23" s="54"/>
      <c r="D23" s="119"/>
      <c r="E23" s="54"/>
      <c r="F23" s="180"/>
    </row>
    <row r="24" spans="1:6" s="38" customFormat="1" x14ac:dyDescent="0.2">
      <c r="A24" s="25"/>
      <c r="B24" s="48" t="s">
        <v>30</v>
      </c>
      <c r="C24" s="54">
        <v>2</v>
      </c>
      <c r="D24" s="119">
        <f>C24*3000</f>
        <v>6000</v>
      </c>
      <c r="E24" s="54"/>
      <c r="F24" s="180"/>
    </row>
    <row r="25" spans="1:6" s="38" customFormat="1" x14ac:dyDescent="0.2">
      <c r="A25" s="25"/>
      <c r="B25" s="48" t="s">
        <v>31</v>
      </c>
      <c r="C25" s="54">
        <v>2</v>
      </c>
      <c r="D25" s="119">
        <f>C25*4000</f>
        <v>8000</v>
      </c>
      <c r="E25" s="54"/>
      <c r="F25" s="180"/>
    </row>
    <row r="26" spans="1:6" s="38" customFormat="1" x14ac:dyDescent="0.2">
      <c r="A26" s="25"/>
      <c r="B26" s="209" t="s">
        <v>32</v>
      </c>
      <c r="C26" s="54">
        <v>10</v>
      </c>
      <c r="D26" s="119">
        <f>C26*2500</f>
        <v>25000</v>
      </c>
      <c r="E26" s="54"/>
      <c r="F26" s="180"/>
    </row>
    <row r="27" spans="1:6" s="38" customFormat="1" x14ac:dyDescent="0.2">
      <c r="A27" s="25"/>
      <c r="B27" s="209" t="s">
        <v>33</v>
      </c>
      <c r="C27" s="54">
        <v>15</v>
      </c>
      <c r="D27" s="119">
        <f>C27*2500</f>
        <v>37500</v>
      </c>
      <c r="E27" s="54"/>
      <c r="F27" s="180"/>
    </row>
    <row r="28" spans="1:6" s="38" customFormat="1" x14ac:dyDescent="0.2">
      <c r="A28" s="25"/>
      <c r="B28" s="209" t="s">
        <v>35</v>
      </c>
      <c r="C28" s="54">
        <v>20</v>
      </c>
      <c r="D28" s="119">
        <f>C28*2000</f>
        <v>40000</v>
      </c>
      <c r="E28" s="54"/>
      <c r="F28" s="180"/>
    </row>
    <row r="29" spans="1:6" s="38" customFormat="1" x14ac:dyDescent="0.2">
      <c r="A29" s="25"/>
      <c r="B29" s="209" t="s">
        <v>36</v>
      </c>
      <c r="C29" s="54">
        <v>2</v>
      </c>
      <c r="D29" s="119">
        <f>C29*5000</f>
        <v>10000</v>
      </c>
      <c r="E29" s="54"/>
      <c r="F29" s="180"/>
    </row>
    <row r="30" spans="1:6" s="38" customFormat="1" ht="15" x14ac:dyDescent="0.25">
      <c r="A30" s="25"/>
      <c r="B30" s="209" t="s">
        <v>37</v>
      </c>
      <c r="C30" s="47">
        <v>6</v>
      </c>
      <c r="D30" s="119">
        <f>C30*3000</f>
        <v>18000</v>
      </c>
      <c r="E30" s="54"/>
      <c r="F30" s="180"/>
    </row>
    <row r="31" spans="1:6" s="38" customFormat="1" x14ac:dyDescent="0.2">
      <c r="A31" s="25"/>
      <c r="B31" s="48" t="s">
        <v>38</v>
      </c>
      <c r="C31" s="54">
        <v>6</v>
      </c>
      <c r="D31" s="119">
        <f>C31*2500</f>
        <v>15000</v>
      </c>
      <c r="E31" s="54"/>
      <c r="F31" s="180"/>
    </row>
    <row r="32" spans="1:6" s="38" customFormat="1" x14ac:dyDescent="0.2">
      <c r="A32" s="25"/>
      <c r="B32" s="209" t="s">
        <v>39</v>
      </c>
      <c r="C32" s="54">
        <v>2</v>
      </c>
      <c r="D32" s="119">
        <f>C32*2000</f>
        <v>4000</v>
      </c>
      <c r="E32" s="54"/>
      <c r="F32" s="180"/>
    </row>
    <row r="33" spans="1:8" s="38" customFormat="1" x14ac:dyDescent="0.2">
      <c r="A33" s="25"/>
      <c r="B33" s="209" t="s">
        <v>40</v>
      </c>
      <c r="C33" s="54">
        <v>2</v>
      </c>
      <c r="D33" s="119">
        <f>C33*3000</f>
        <v>6000</v>
      </c>
      <c r="E33" s="54"/>
      <c r="F33" s="180"/>
    </row>
    <row r="34" spans="1:8" s="38" customFormat="1" x14ac:dyDescent="0.2">
      <c r="A34" s="25"/>
      <c r="B34" s="209" t="s">
        <v>41</v>
      </c>
      <c r="C34" s="54">
        <v>3</v>
      </c>
      <c r="D34" s="119">
        <f>C34*2500</f>
        <v>7500</v>
      </c>
      <c r="E34" s="54"/>
      <c r="F34" s="180"/>
    </row>
    <row r="35" spans="1:8" s="38" customFormat="1" x14ac:dyDescent="0.2">
      <c r="A35" s="25"/>
      <c r="B35" s="209" t="s">
        <v>42</v>
      </c>
      <c r="C35" s="54"/>
      <c r="D35" s="119">
        <f>C35*2000</f>
        <v>0</v>
      </c>
      <c r="E35" s="54"/>
      <c r="F35" s="180"/>
    </row>
    <row r="36" spans="1:8" s="38" customFormat="1" x14ac:dyDescent="0.2">
      <c r="A36" s="25"/>
      <c r="B36" s="48" t="s">
        <v>43</v>
      </c>
      <c r="C36" s="54">
        <v>6</v>
      </c>
      <c r="D36" s="119">
        <f>C36*1200</f>
        <v>7200</v>
      </c>
      <c r="E36" s="54"/>
      <c r="F36" s="180"/>
    </row>
    <row r="37" spans="1:8" s="38" customFormat="1" x14ac:dyDescent="0.2">
      <c r="A37" s="25"/>
      <c r="B37" s="48" t="s">
        <v>44</v>
      </c>
      <c r="C37" s="54">
        <v>2</v>
      </c>
      <c r="D37" s="119">
        <f>C37*2000</f>
        <v>4000</v>
      </c>
      <c r="E37" s="54"/>
      <c r="F37" s="180"/>
    </row>
    <row r="38" spans="1:8" s="38" customFormat="1" x14ac:dyDescent="0.2">
      <c r="A38" s="25"/>
      <c r="B38" s="48" t="s">
        <v>45</v>
      </c>
      <c r="C38" s="54"/>
      <c r="D38" s="119">
        <f>C38*7500</f>
        <v>0</v>
      </c>
      <c r="E38" s="54"/>
      <c r="F38" s="180"/>
    </row>
    <row r="39" spans="1:8" s="38" customFormat="1" x14ac:dyDescent="0.2">
      <c r="A39" s="25"/>
      <c r="B39" s="48" t="s">
        <v>46</v>
      </c>
      <c r="C39" s="54"/>
      <c r="D39" s="119">
        <f>C39*9000</f>
        <v>0</v>
      </c>
      <c r="E39" s="54"/>
      <c r="F39" s="180"/>
    </row>
    <row r="40" spans="1:8" s="38" customFormat="1" x14ac:dyDescent="0.2">
      <c r="A40" s="25"/>
      <c r="B40" s="209" t="s">
        <v>47</v>
      </c>
      <c r="C40" s="54"/>
      <c r="D40" s="119"/>
      <c r="E40" s="54"/>
      <c r="F40" s="180"/>
    </row>
    <row r="41" spans="1:8" s="38" customFormat="1" x14ac:dyDescent="0.2">
      <c r="A41" s="25"/>
      <c r="B41" s="209" t="s">
        <v>48</v>
      </c>
      <c r="C41" s="54"/>
      <c r="D41" s="119"/>
      <c r="E41" s="54"/>
      <c r="F41" s="180"/>
    </row>
    <row r="42" spans="1:8" s="38" customFormat="1" x14ac:dyDescent="0.2">
      <c r="A42" s="25"/>
      <c r="B42" s="48" t="s">
        <v>49</v>
      </c>
      <c r="C42" s="54"/>
      <c r="D42" s="119"/>
      <c r="E42" s="54"/>
      <c r="F42" s="180"/>
    </row>
    <row r="43" spans="1:8" s="38" customFormat="1" x14ac:dyDescent="0.2">
      <c r="A43" s="25"/>
      <c r="B43" s="48" t="s">
        <v>50</v>
      </c>
      <c r="C43" s="54"/>
      <c r="D43" s="119">
        <f>C43*3000</f>
        <v>0</v>
      </c>
      <c r="E43" s="54"/>
      <c r="F43" s="180"/>
    </row>
    <row r="44" spans="1:8" s="38" customFormat="1" x14ac:dyDescent="0.2">
      <c r="A44" s="25"/>
      <c r="B44" s="48" t="s">
        <v>51</v>
      </c>
      <c r="C44" s="54">
        <v>2</v>
      </c>
      <c r="D44" s="119">
        <f>C44*4000</f>
        <v>8000</v>
      </c>
      <c r="E44" s="54"/>
      <c r="F44" s="180"/>
    </row>
    <row r="45" spans="1:8" s="38" customFormat="1" ht="15" x14ac:dyDescent="0.25">
      <c r="A45" s="25"/>
      <c r="B45" s="48" t="s">
        <v>52</v>
      </c>
      <c r="C45" s="47">
        <v>8</v>
      </c>
      <c r="D45" s="119">
        <f>C45*3000</f>
        <v>24000</v>
      </c>
      <c r="E45" s="54"/>
      <c r="F45" s="180"/>
    </row>
    <row r="46" spans="1:8" s="38" customFormat="1" x14ac:dyDescent="0.2">
      <c r="A46" s="25"/>
      <c r="B46" s="209" t="s">
        <v>53</v>
      </c>
      <c r="C46" s="54">
        <v>4</v>
      </c>
      <c r="D46" s="119">
        <f>C46*3000</f>
        <v>12000</v>
      </c>
      <c r="E46" s="54"/>
      <c r="F46" s="180"/>
    </row>
    <row r="47" spans="1:8" s="38" customFormat="1" ht="15.75" thickBot="1" x14ac:dyDescent="0.3">
      <c r="A47" s="181"/>
      <c r="B47" s="182" t="s">
        <v>54</v>
      </c>
      <c r="C47" s="183">
        <v>10</v>
      </c>
      <c r="D47" s="184">
        <f>C47*4500</f>
        <v>45000</v>
      </c>
      <c r="E47" s="200"/>
      <c r="F47" s="186"/>
    </row>
    <row r="48" spans="1:8" ht="13.5" thickBot="1" x14ac:dyDescent="0.25">
      <c r="A48" s="99"/>
      <c r="B48" s="258" t="s">
        <v>154</v>
      </c>
      <c r="C48" s="107">
        <f>SUM(C14:C47)</f>
        <v>119</v>
      </c>
      <c r="D48" s="107">
        <f>SUM(D14:D47)</f>
        <v>321200</v>
      </c>
      <c r="E48" s="107">
        <f>SUM(E14:E47)</f>
        <v>0</v>
      </c>
      <c r="F48" s="107">
        <f>SUM(F14:F47)</f>
        <v>0</v>
      </c>
      <c r="H48" s="5"/>
    </row>
    <row r="49" spans="1:8" s="38" customFormat="1" ht="15" x14ac:dyDescent="0.25">
      <c r="A49" s="175" t="s">
        <v>6</v>
      </c>
      <c r="B49" s="194" t="s">
        <v>61</v>
      </c>
      <c r="C49" s="254"/>
      <c r="D49" s="178"/>
      <c r="E49" s="177"/>
      <c r="F49" s="179"/>
    </row>
    <row r="50" spans="1:8" s="38" customFormat="1" ht="15" x14ac:dyDescent="0.25">
      <c r="A50" s="25"/>
      <c r="B50" s="48" t="s">
        <v>64</v>
      </c>
      <c r="C50" s="47">
        <v>6</v>
      </c>
      <c r="D50" s="119">
        <f>C50*8000</f>
        <v>48000</v>
      </c>
      <c r="E50" s="54"/>
      <c r="F50" s="180"/>
    </row>
    <row r="51" spans="1:8" s="38" customFormat="1" ht="15" x14ac:dyDescent="0.25">
      <c r="A51" s="25"/>
      <c r="B51" s="48" t="s">
        <v>65</v>
      </c>
      <c r="C51" s="47">
        <v>2</v>
      </c>
      <c r="D51" s="119">
        <f>C51*18000</f>
        <v>36000</v>
      </c>
      <c r="E51" s="54"/>
      <c r="F51" s="180"/>
    </row>
    <row r="52" spans="1:8" s="38" customFormat="1" ht="15" x14ac:dyDescent="0.25">
      <c r="A52" s="25"/>
      <c r="B52" s="193" t="s">
        <v>66</v>
      </c>
      <c r="C52" s="47">
        <v>1</v>
      </c>
      <c r="D52" s="119">
        <f>C52*3000</f>
        <v>3000</v>
      </c>
      <c r="E52" s="54"/>
      <c r="F52" s="180"/>
    </row>
    <row r="53" spans="1:8" s="38" customFormat="1" ht="15" x14ac:dyDescent="0.25">
      <c r="A53" s="25"/>
      <c r="B53" s="48" t="s">
        <v>67</v>
      </c>
      <c r="C53" s="47">
        <v>2</v>
      </c>
      <c r="D53" s="119">
        <f>C53*6000</f>
        <v>12000</v>
      </c>
      <c r="E53" s="54"/>
      <c r="F53" s="180"/>
    </row>
    <row r="54" spans="1:8" s="38" customFormat="1" ht="15" x14ac:dyDescent="0.25">
      <c r="A54" s="25"/>
      <c r="B54" s="48" t="s">
        <v>68</v>
      </c>
      <c r="C54" s="47">
        <v>1</v>
      </c>
      <c r="D54" s="119">
        <f>C54*8000</f>
        <v>8000</v>
      </c>
      <c r="E54" s="54"/>
      <c r="F54" s="180"/>
    </row>
    <row r="55" spans="1:8" s="38" customFormat="1" ht="15" x14ac:dyDescent="0.25">
      <c r="A55" s="143"/>
      <c r="B55" s="48" t="s">
        <v>69</v>
      </c>
      <c r="C55" s="47"/>
      <c r="D55" s="119">
        <f>C55*5000</f>
        <v>0</v>
      </c>
      <c r="E55" s="54"/>
      <c r="F55" s="180"/>
    </row>
    <row r="56" spans="1:8" s="38" customFormat="1" ht="15" x14ac:dyDescent="0.25">
      <c r="A56" s="143"/>
      <c r="B56" s="48" t="s">
        <v>70</v>
      </c>
      <c r="C56" s="47"/>
      <c r="D56" s="119"/>
      <c r="E56" s="54"/>
      <c r="F56" s="180"/>
    </row>
    <row r="57" spans="1:8" s="38" customFormat="1" ht="15" x14ac:dyDescent="0.25">
      <c r="A57" s="143"/>
      <c r="B57" s="48" t="s">
        <v>71</v>
      </c>
      <c r="C57" s="47"/>
      <c r="D57" s="119"/>
      <c r="E57" s="54"/>
      <c r="F57" s="180"/>
    </row>
    <row r="58" spans="1:8" s="38" customFormat="1" ht="15" x14ac:dyDescent="0.25">
      <c r="A58" s="143"/>
      <c r="B58" s="48" t="s">
        <v>72</v>
      </c>
      <c r="C58" s="47"/>
      <c r="D58" s="119"/>
      <c r="E58" s="54"/>
      <c r="F58" s="180"/>
    </row>
    <row r="59" spans="1:8" s="38" customFormat="1" ht="15.75" thickBot="1" x14ac:dyDescent="0.3">
      <c r="A59" s="195"/>
      <c r="B59" s="182" t="s">
        <v>73</v>
      </c>
      <c r="C59" s="183">
        <v>1</v>
      </c>
      <c r="D59" s="184">
        <f>660000+34500</f>
        <v>694500</v>
      </c>
      <c r="E59" s="200"/>
      <c r="F59" s="186"/>
    </row>
    <row r="60" spans="1:8" ht="13.5" thickBot="1" x14ac:dyDescent="0.25">
      <c r="A60" s="99"/>
      <c r="B60" s="258" t="s">
        <v>156</v>
      </c>
      <c r="C60" s="107">
        <f>SUM(C50:C59)</f>
        <v>13</v>
      </c>
      <c r="D60" s="107">
        <f>SUM(D50:D59)</f>
        <v>801500</v>
      </c>
      <c r="E60" s="107">
        <f>SUM(E50:E59)</f>
        <v>0</v>
      </c>
      <c r="F60" s="107">
        <f>SUM(F50:F59)</f>
        <v>0</v>
      </c>
      <c r="H60" s="5"/>
    </row>
    <row r="61" spans="1:8" x14ac:dyDescent="0.2">
      <c r="A61" s="175" t="s">
        <v>7</v>
      </c>
      <c r="B61" s="176" t="s">
        <v>74</v>
      </c>
      <c r="C61" s="177"/>
      <c r="D61" s="178"/>
      <c r="E61" s="177"/>
      <c r="F61" s="179"/>
      <c r="H61" s="5"/>
    </row>
    <row r="62" spans="1:8" s="38" customFormat="1" x14ac:dyDescent="0.2">
      <c r="A62" s="25"/>
      <c r="B62" s="135" t="s">
        <v>75</v>
      </c>
      <c r="C62" s="54"/>
      <c r="D62" s="119"/>
      <c r="E62" s="54"/>
      <c r="F62" s="180"/>
    </row>
    <row r="63" spans="1:8" s="38" customFormat="1" x14ac:dyDescent="0.2">
      <c r="A63" s="25"/>
      <c r="B63" s="135" t="s">
        <v>76</v>
      </c>
      <c r="C63" s="54"/>
      <c r="D63" s="119"/>
      <c r="E63" s="54"/>
      <c r="F63" s="180"/>
    </row>
    <row r="64" spans="1:8" s="38" customFormat="1" x14ac:dyDescent="0.2">
      <c r="A64" s="25"/>
      <c r="B64" s="135" t="s">
        <v>77</v>
      </c>
      <c r="C64" s="54"/>
      <c r="D64" s="119"/>
      <c r="E64" s="54"/>
      <c r="F64" s="180"/>
    </row>
    <row r="65" spans="1:8" s="38" customFormat="1" x14ac:dyDescent="0.2">
      <c r="A65" s="25"/>
      <c r="B65" s="135" t="s">
        <v>78</v>
      </c>
      <c r="C65" s="54">
        <v>1</v>
      </c>
      <c r="D65" s="119">
        <f>C65*2500</f>
        <v>2500</v>
      </c>
      <c r="E65" s="54"/>
      <c r="F65" s="180"/>
    </row>
    <row r="66" spans="1:8" s="38" customFormat="1" x14ac:dyDescent="0.2">
      <c r="A66" s="25"/>
      <c r="B66" s="135" t="s">
        <v>79</v>
      </c>
      <c r="C66" s="54"/>
      <c r="D66" s="119"/>
      <c r="E66" s="54"/>
      <c r="F66" s="180"/>
    </row>
    <row r="67" spans="1:8" s="38" customFormat="1" x14ac:dyDescent="0.2">
      <c r="A67" s="25"/>
      <c r="B67" s="135" t="s">
        <v>80</v>
      </c>
      <c r="C67" s="54">
        <v>1</v>
      </c>
      <c r="D67" s="119">
        <v>6000</v>
      </c>
      <c r="E67" s="54"/>
      <c r="F67" s="180"/>
    </row>
    <row r="68" spans="1:8" s="38" customFormat="1" x14ac:dyDescent="0.2">
      <c r="A68" s="25"/>
      <c r="B68" s="135" t="s">
        <v>81</v>
      </c>
      <c r="C68" s="54"/>
      <c r="D68" s="119"/>
      <c r="E68" s="54"/>
      <c r="F68" s="180"/>
    </row>
    <row r="69" spans="1:8" s="38" customFormat="1" x14ac:dyDescent="0.2">
      <c r="A69" s="25"/>
      <c r="B69" s="135" t="s">
        <v>82</v>
      </c>
      <c r="C69" s="54"/>
      <c r="D69" s="119"/>
      <c r="E69" s="54"/>
      <c r="F69" s="180"/>
    </row>
    <row r="70" spans="1:8" s="38" customFormat="1" x14ac:dyDescent="0.2">
      <c r="A70" s="25"/>
      <c r="B70" s="135" t="s">
        <v>83</v>
      </c>
      <c r="C70" s="54"/>
      <c r="D70" s="119"/>
      <c r="E70" s="54"/>
      <c r="F70" s="180"/>
    </row>
    <row r="71" spans="1:8" s="38" customFormat="1" x14ac:dyDescent="0.2">
      <c r="A71" s="25"/>
      <c r="B71" s="135" t="s">
        <v>84</v>
      </c>
      <c r="C71" s="54"/>
      <c r="D71" s="119"/>
      <c r="E71" s="54"/>
      <c r="F71" s="180"/>
    </row>
    <row r="72" spans="1:8" s="38" customFormat="1" ht="13.5" thickBot="1" x14ac:dyDescent="0.25">
      <c r="A72" s="187"/>
      <c r="B72" s="201" t="s">
        <v>85</v>
      </c>
      <c r="C72" s="202"/>
      <c r="D72" s="189"/>
      <c r="E72" s="202"/>
      <c r="F72" s="191"/>
    </row>
    <row r="73" spans="1:8" ht="13.5" thickBot="1" x14ac:dyDescent="0.25">
      <c r="A73" s="108"/>
      <c r="B73" s="169" t="s">
        <v>157</v>
      </c>
      <c r="C73" s="170">
        <f>SUM(C62:C72)</f>
        <v>2</v>
      </c>
      <c r="D73" s="170">
        <f t="shared" ref="D73:F73" si="0">SUM(D62:D72)</f>
        <v>8500</v>
      </c>
      <c r="E73" s="170">
        <f t="shared" si="0"/>
        <v>0</v>
      </c>
      <c r="F73" s="170">
        <f t="shared" si="0"/>
        <v>0</v>
      </c>
      <c r="H73" s="5"/>
    </row>
    <row r="74" spans="1:8" x14ac:dyDescent="0.2">
      <c r="A74" s="59" t="s">
        <v>8</v>
      </c>
      <c r="B74" s="130" t="s">
        <v>86</v>
      </c>
      <c r="C74" s="61"/>
      <c r="D74" s="62"/>
      <c r="E74" s="61"/>
      <c r="F74" s="110"/>
      <c r="H74" s="5"/>
    </row>
    <row r="75" spans="1:8" s="38" customFormat="1" x14ac:dyDescent="0.2">
      <c r="A75" s="27"/>
      <c r="B75" s="132" t="s">
        <v>87</v>
      </c>
      <c r="C75" s="122"/>
      <c r="D75" s="62"/>
      <c r="E75" s="122"/>
      <c r="F75" s="21"/>
    </row>
    <row r="76" spans="1:8" s="38" customFormat="1" ht="26.25" thickBot="1" x14ac:dyDescent="0.25">
      <c r="A76" s="259"/>
      <c r="B76" s="260" t="s">
        <v>88</v>
      </c>
      <c r="C76" s="136">
        <v>1</v>
      </c>
      <c r="D76" s="261">
        <v>13000</v>
      </c>
      <c r="E76" s="136"/>
      <c r="F76" s="134"/>
    </row>
    <row r="77" spans="1:8" ht="13.5" thickBot="1" x14ac:dyDescent="0.25">
      <c r="A77" s="171"/>
      <c r="B77" s="172" t="s">
        <v>158</v>
      </c>
      <c r="C77" s="173">
        <f>SUM(C75:C76)</f>
        <v>1</v>
      </c>
      <c r="D77" s="173">
        <f>SUM(D75:D76)</f>
        <v>13000</v>
      </c>
      <c r="E77" s="173">
        <f>SUM(E75:E76)</f>
        <v>0</v>
      </c>
      <c r="F77" s="174">
        <f>SUM(F75:F76)</f>
        <v>0</v>
      </c>
      <c r="H77" s="5"/>
    </row>
    <row r="78" spans="1:8" x14ac:dyDescent="0.2">
      <c r="A78" s="175" t="s">
        <v>9</v>
      </c>
      <c r="B78" s="176" t="s">
        <v>90</v>
      </c>
      <c r="C78" s="177"/>
      <c r="D78" s="178"/>
      <c r="E78" s="177"/>
      <c r="F78" s="179"/>
      <c r="H78" s="5"/>
    </row>
    <row r="79" spans="1:8" s="38" customFormat="1" ht="15" x14ac:dyDescent="0.25">
      <c r="A79" s="25"/>
      <c r="B79" s="205" t="s">
        <v>91</v>
      </c>
      <c r="C79" s="47">
        <v>2</v>
      </c>
      <c r="D79" s="119">
        <f>C79*550000</f>
        <v>1100000</v>
      </c>
      <c r="E79" s="54"/>
      <c r="F79" s="180"/>
    </row>
    <row r="80" spans="1:8" s="38" customFormat="1" ht="15" x14ac:dyDescent="0.25">
      <c r="A80" s="25"/>
      <c r="B80" s="205" t="s">
        <v>92</v>
      </c>
      <c r="C80" s="47">
        <v>2</v>
      </c>
      <c r="D80" s="119">
        <f>C80*450000</f>
        <v>900000</v>
      </c>
      <c r="E80" s="54"/>
      <c r="F80" s="180"/>
    </row>
    <row r="81" spans="1:8" s="38" customFormat="1" ht="15" x14ac:dyDescent="0.25">
      <c r="A81" s="25"/>
      <c r="B81" s="205" t="s">
        <v>93</v>
      </c>
      <c r="C81" s="47">
        <v>0</v>
      </c>
      <c r="D81" s="119">
        <f>C81*15000</f>
        <v>0</v>
      </c>
      <c r="E81" s="54"/>
      <c r="F81" s="180"/>
    </row>
    <row r="82" spans="1:8" s="38" customFormat="1" x14ac:dyDescent="0.2">
      <c r="A82" s="25"/>
      <c r="B82" s="205" t="s">
        <v>94</v>
      </c>
      <c r="C82" s="54">
        <v>1</v>
      </c>
      <c r="D82" s="119">
        <f>C82*130000</f>
        <v>130000</v>
      </c>
      <c r="E82" s="54"/>
      <c r="F82" s="180"/>
    </row>
    <row r="83" spans="1:8" s="38" customFormat="1" ht="15" x14ac:dyDescent="0.25">
      <c r="A83" s="25"/>
      <c r="B83" s="48" t="s">
        <v>95</v>
      </c>
      <c r="C83" s="47">
        <v>2</v>
      </c>
      <c r="D83" s="119">
        <f>C83*5000</f>
        <v>10000</v>
      </c>
      <c r="E83" s="54"/>
      <c r="F83" s="180"/>
    </row>
    <row r="84" spans="1:8" s="141" customFormat="1" ht="15" x14ac:dyDescent="0.25">
      <c r="A84" s="25"/>
      <c r="B84" s="205" t="s">
        <v>96</v>
      </c>
      <c r="C84" s="47">
        <v>2</v>
      </c>
      <c r="D84" s="119">
        <f>C84*5000</f>
        <v>10000</v>
      </c>
      <c r="E84" s="54"/>
      <c r="F84" s="180"/>
    </row>
    <row r="85" spans="1:8" s="141" customFormat="1" ht="15" x14ac:dyDescent="0.25">
      <c r="A85" s="25"/>
      <c r="B85" s="205" t="s">
        <v>97</v>
      </c>
      <c r="C85" s="47">
        <v>2</v>
      </c>
      <c r="D85" s="119">
        <f>C85*7000</f>
        <v>14000</v>
      </c>
      <c r="E85" s="54"/>
      <c r="F85" s="180"/>
    </row>
    <row r="86" spans="1:8" s="141" customFormat="1" ht="15" x14ac:dyDescent="0.25">
      <c r="A86" s="25"/>
      <c r="B86" s="205" t="s">
        <v>98</v>
      </c>
      <c r="C86" s="47">
        <v>10</v>
      </c>
      <c r="D86" s="119">
        <f>C86*8000</f>
        <v>80000</v>
      </c>
      <c r="E86" s="54"/>
      <c r="F86" s="180"/>
    </row>
    <row r="87" spans="1:8" s="38" customFormat="1" ht="15" x14ac:dyDescent="0.25">
      <c r="A87" s="25"/>
      <c r="B87" s="205" t="s">
        <v>99</v>
      </c>
      <c r="C87" s="47">
        <v>0</v>
      </c>
      <c r="D87" s="119">
        <f>C87*8000</f>
        <v>0</v>
      </c>
      <c r="E87" s="54"/>
      <c r="F87" s="180"/>
    </row>
    <row r="88" spans="1:8" s="141" customFormat="1" ht="15" x14ac:dyDescent="0.25">
      <c r="A88" s="25"/>
      <c r="B88" s="205" t="s">
        <v>100</v>
      </c>
      <c r="C88" s="47">
        <v>4</v>
      </c>
      <c r="D88" s="119">
        <f>C88*25000</f>
        <v>100000</v>
      </c>
      <c r="E88" s="54"/>
      <c r="F88" s="180"/>
    </row>
    <row r="89" spans="1:8" s="141" customFormat="1" ht="15" x14ac:dyDescent="0.25">
      <c r="A89" s="25"/>
      <c r="B89" s="205" t="s">
        <v>101</v>
      </c>
      <c r="C89" s="47">
        <v>6</v>
      </c>
      <c r="D89" s="119">
        <f>C89*1500</f>
        <v>9000</v>
      </c>
      <c r="E89" s="54"/>
      <c r="F89" s="180"/>
    </row>
    <row r="90" spans="1:8" s="38" customFormat="1" ht="15" x14ac:dyDescent="0.25">
      <c r="A90" s="25"/>
      <c r="B90" s="205" t="s">
        <v>102</v>
      </c>
      <c r="C90" s="47">
        <v>10</v>
      </c>
      <c r="D90" s="119">
        <f>C90*35000</f>
        <v>350000</v>
      </c>
      <c r="E90" s="54"/>
      <c r="F90" s="180"/>
    </row>
    <row r="91" spans="1:8" s="141" customFormat="1" ht="15.75" thickBot="1" x14ac:dyDescent="0.3">
      <c r="A91" s="181"/>
      <c r="B91" s="182" t="s">
        <v>103</v>
      </c>
      <c r="C91" s="183"/>
      <c r="D91" s="184"/>
      <c r="E91" s="200"/>
      <c r="F91" s="186"/>
    </row>
    <row r="92" spans="1:8" ht="13.5" thickBot="1" x14ac:dyDescent="0.25">
      <c r="A92" s="99"/>
      <c r="B92" s="258" t="s">
        <v>159</v>
      </c>
      <c r="C92" s="234">
        <f>SUM(C79:C91)</f>
        <v>41</v>
      </c>
      <c r="D92" s="234">
        <f>SUM(D79:D91)</f>
        <v>2703000</v>
      </c>
      <c r="E92" s="234">
        <f>SUM(E79:E91)</f>
        <v>0</v>
      </c>
      <c r="F92" s="234">
        <f>SUM(F79:F91)</f>
        <v>0</v>
      </c>
      <c r="H92" s="5"/>
    </row>
    <row r="93" spans="1:8" x14ac:dyDescent="0.2">
      <c r="A93" s="210" t="s">
        <v>10</v>
      </c>
      <c r="B93" s="211" t="s">
        <v>104</v>
      </c>
      <c r="C93" s="177"/>
      <c r="D93" s="178"/>
      <c r="E93" s="177"/>
      <c r="F93" s="179"/>
      <c r="H93" s="5"/>
    </row>
    <row r="94" spans="1:8" s="141" customFormat="1" ht="15" x14ac:dyDescent="0.25">
      <c r="A94" s="143"/>
      <c r="B94" s="205" t="s">
        <v>105</v>
      </c>
      <c r="C94" s="47"/>
      <c r="D94" s="119"/>
      <c r="E94" s="54"/>
      <c r="F94" s="180"/>
    </row>
    <row r="95" spans="1:8" s="38" customFormat="1" ht="15" x14ac:dyDescent="0.25">
      <c r="A95" s="25"/>
      <c r="B95" s="48" t="s">
        <v>106</v>
      </c>
      <c r="C95" s="47"/>
      <c r="D95" s="119"/>
      <c r="E95" s="54"/>
      <c r="F95" s="180"/>
    </row>
    <row r="96" spans="1:8" s="38" customFormat="1" x14ac:dyDescent="0.2">
      <c r="A96" s="25"/>
      <c r="B96" s="48" t="s">
        <v>107</v>
      </c>
      <c r="C96" s="54"/>
      <c r="D96" s="119"/>
      <c r="E96" s="54"/>
      <c r="F96" s="180"/>
    </row>
    <row r="97" spans="1:6" s="38" customFormat="1" ht="15" x14ac:dyDescent="0.25">
      <c r="A97" s="25"/>
      <c r="B97" s="208" t="s">
        <v>109</v>
      </c>
      <c r="C97" s="47"/>
      <c r="D97" s="119"/>
      <c r="E97" s="54"/>
      <c r="F97" s="180"/>
    </row>
    <row r="98" spans="1:6" s="38" customFormat="1" ht="15" x14ac:dyDescent="0.25">
      <c r="A98" s="25"/>
      <c r="B98" s="208" t="s">
        <v>111</v>
      </c>
      <c r="C98" s="47"/>
      <c r="D98" s="119"/>
      <c r="E98" s="54"/>
      <c r="F98" s="180"/>
    </row>
    <row r="99" spans="1:6" s="38" customFormat="1" x14ac:dyDescent="0.2">
      <c r="A99" s="25"/>
      <c r="B99" s="208" t="s">
        <v>113</v>
      </c>
      <c r="C99" s="54"/>
      <c r="D99" s="119"/>
      <c r="E99" s="54"/>
      <c r="F99" s="180"/>
    </row>
    <row r="100" spans="1:6" s="38" customFormat="1" x14ac:dyDescent="0.2">
      <c r="A100" s="25"/>
      <c r="B100" s="208" t="s">
        <v>115</v>
      </c>
      <c r="C100" s="54"/>
      <c r="D100" s="119"/>
      <c r="E100" s="54"/>
      <c r="F100" s="180"/>
    </row>
    <row r="101" spans="1:6" s="38" customFormat="1" x14ac:dyDescent="0.2">
      <c r="A101" s="25"/>
      <c r="B101" s="208" t="s">
        <v>279</v>
      </c>
      <c r="C101" s="54"/>
      <c r="D101" s="119"/>
      <c r="E101" s="54"/>
      <c r="F101" s="180"/>
    </row>
    <row r="102" spans="1:6" s="38" customFormat="1" ht="15" x14ac:dyDescent="0.25">
      <c r="A102" s="25"/>
      <c r="B102" s="205" t="s">
        <v>116</v>
      </c>
      <c r="C102" s="47"/>
      <c r="D102" s="119"/>
      <c r="E102" s="54"/>
      <c r="F102" s="180"/>
    </row>
    <row r="103" spans="1:6" s="38" customFormat="1" x14ac:dyDescent="0.2">
      <c r="A103" s="25"/>
      <c r="B103" s="208" t="s">
        <v>117</v>
      </c>
      <c r="C103" s="54"/>
      <c r="D103" s="119"/>
      <c r="E103" s="54"/>
      <c r="F103" s="180"/>
    </row>
    <row r="104" spans="1:6" s="38" customFormat="1" x14ac:dyDescent="0.2">
      <c r="A104" s="25"/>
      <c r="B104" s="48" t="s">
        <v>118</v>
      </c>
      <c r="C104" s="135"/>
      <c r="D104" s="119"/>
      <c r="E104" s="54"/>
      <c r="F104" s="180"/>
    </row>
    <row r="105" spans="1:6" s="141" customFormat="1" x14ac:dyDescent="0.2">
      <c r="A105" s="143"/>
      <c r="B105" s="205" t="s">
        <v>119</v>
      </c>
      <c r="C105" s="54"/>
      <c r="D105" s="119"/>
      <c r="E105" s="54"/>
      <c r="F105" s="180"/>
    </row>
    <row r="106" spans="1:6" s="141" customFormat="1" x14ac:dyDescent="0.2">
      <c r="A106" s="143"/>
      <c r="B106" s="48" t="s">
        <v>120</v>
      </c>
      <c r="C106" s="54"/>
      <c r="D106" s="119"/>
      <c r="E106" s="54"/>
      <c r="F106" s="180"/>
    </row>
    <row r="107" spans="1:6" s="38" customFormat="1" x14ac:dyDescent="0.2">
      <c r="A107" s="25"/>
      <c r="B107" s="320" t="s">
        <v>122</v>
      </c>
      <c r="C107" s="54"/>
      <c r="D107" s="119"/>
      <c r="E107" s="54"/>
      <c r="F107" s="180"/>
    </row>
    <row r="108" spans="1:6" s="38" customFormat="1" ht="25.5" x14ac:dyDescent="0.2">
      <c r="A108" s="25"/>
      <c r="B108" s="209" t="s">
        <v>124</v>
      </c>
      <c r="C108" s="54"/>
      <c r="D108" s="119"/>
      <c r="E108" s="54"/>
      <c r="F108" s="180"/>
    </row>
    <row r="109" spans="1:6" s="38" customFormat="1" x14ac:dyDescent="0.2">
      <c r="A109" s="25"/>
      <c r="B109" s="320" t="s">
        <v>126</v>
      </c>
      <c r="C109" s="54"/>
      <c r="D109" s="119"/>
      <c r="E109" s="54"/>
      <c r="F109" s="180"/>
    </row>
    <row r="110" spans="1:6" s="38" customFormat="1" x14ac:dyDescent="0.2">
      <c r="A110" s="25"/>
      <c r="B110" s="320" t="s">
        <v>128</v>
      </c>
      <c r="C110" s="54"/>
      <c r="D110" s="119"/>
      <c r="E110" s="54"/>
      <c r="F110" s="180"/>
    </row>
    <row r="111" spans="1:6" s="38" customFormat="1" x14ac:dyDescent="0.2">
      <c r="A111" s="25"/>
      <c r="B111" s="320" t="s">
        <v>130</v>
      </c>
      <c r="C111" s="54"/>
      <c r="D111" s="119"/>
      <c r="E111" s="54"/>
      <c r="F111" s="180"/>
    </row>
    <row r="112" spans="1:6" s="38" customFormat="1" x14ac:dyDescent="0.2">
      <c r="A112" s="25"/>
      <c r="B112" s="320" t="s">
        <v>280</v>
      </c>
      <c r="C112" s="54"/>
      <c r="D112" s="119"/>
      <c r="E112" s="54"/>
      <c r="F112" s="180"/>
    </row>
    <row r="113" spans="1:6" s="38" customFormat="1" x14ac:dyDescent="0.2">
      <c r="A113" s="25"/>
      <c r="B113" s="320" t="s">
        <v>133</v>
      </c>
      <c r="C113" s="54"/>
      <c r="D113" s="119"/>
      <c r="E113" s="54"/>
      <c r="F113" s="180"/>
    </row>
    <row r="114" spans="1:6" s="141" customFormat="1" x14ac:dyDescent="0.2">
      <c r="A114" s="25"/>
      <c r="B114" s="208" t="s">
        <v>134</v>
      </c>
      <c r="C114" s="54"/>
      <c r="D114" s="119"/>
      <c r="E114" s="54"/>
      <c r="F114" s="180"/>
    </row>
    <row r="115" spans="1:6" s="141" customFormat="1" x14ac:dyDescent="0.2">
      <c r="A115" s="25"/>
      <c r="B115" s="208" t="s">
        <v>135</v>
      </c>
      <c r="C115" s="54"/>
      <c r="D115" s="119"/>
      <c r="E115" s="54"/>
      <c r="F115" s="180"/>
    </row>
    <row r="116" spans="1:6" s="141" customFormat="1" ht="25.5" x14ac:dyDescent="0.2">
      <c r="A116" s="25"/>
      <c r="B116" s="208" t="s">
        <v>136</v>
      </c>
      <c r="C116" s="54"/>
      <c r="D116" s="119"/>
      <c r="E116" s="54"/>
      <c r="F116" s="180"/>
    </row>
    <row r="117" spans="1:6" s="38" customFormat="1" x14ac:dyDescent="0.2">
      <c r="A117" s="25"/>
      <c r="B117" s="205" t="s">
        <v>137</v>
      </c>
      <c r="C117" s="54"/>
      <c r="D117" s="119"/>
      <c r="E117" s="54"/>
      <c r="F117" s="180"/>
    </row>
    <row r="118" spans="1:6" s="38" customFormat="1" x14ac:dyDescent="0.2">
      <c r="A118" s="25"/>
      <c r="B118" s="205" t="s">
        <v>138</v>
      </c>
      <c r="C118" s="54"/>
      <c r="D118" s="119"/>
      <c r="E118" s="54"/>
      <c r="F118" s="180"/>
    </row>
    <row r="119" spans="1:6" s="38" customFormat="1" x14ac:dyDescent="0.2">
      <c r="A119" s="25"/>
      <c r="B119" s="48" t="s">
        <v>139</v>
      </c>
      <c r="C119" s="54"/>
      <c r="D119" s="119"/>
      <c r="E119" s="54"/>
      <c r="F119" s="180"/>
    </row>
    <row r="120" spans="1:6" s="38" customFormat="1" x14ac:dyDescent="0.2">
      <c r="A120" s="25"/>
      <c r="B120" s="48" t="s">
        <v>140</v>
      </c>
      <c r="C120" s="54"/>
      <c r="D120" s="119"/>
      <c r="E120" s="54"/>
      <c r="F120" s="180"/>
    </row>
    <row r="121" spans="1:6" s="38" customFormat="1" x14ac:dyDescent="0.2">
      <c r="A121" s="25"/>
      <c r="B121" s="48" t="s">
        <v>141</v>
      </c>
      <c r="C121" s="54"/>
      <c r="D121" s="119"/>
      <c r="E121" s="54"/>
      <c r="F121" s="180"/>
    </row>
    <row r="122" spans="1:6" s="38" customFormat="1" x14ac:dyDescent="0.2">
      <c r="A122" s="25"/>
      <c r="B122" s="48" t="s">
        <v>142</v>
      </c>
      <c r="C122" s="54"/>
      <c r="D122" s="119"/>
      <c r="E122" s="54"/>
      <c r="F122" s="180"/>
    </row>
    <row r="123" spans="1:6" s="38" customFormat="1" x14ac:dyDescent="0.2">
      <c r="A123" s="25"/>
      <c r="B123" s="205" t="s">
        <v>143</v>
      </c>
      <c r="C123" s="54"/>
      <c r="D123" s="119"/>
      <c r="E123" s="54"/>
      <c r="F123" s="180"/>
    </row>
    <row r="124" spans="1:6" s="38" customFormat="1" x14ac:dyDescent="0.2">
      <c r="A124" s="25"/>
      <c r="B124" s="48" t="s">
        <v>144</v>
      </c>
      <c r="C124" s="54"/>
      <c r="D124" s="119"/>
      <c r="E124" s="54"/>
      <c r="F124" s="180"/>
    </row>
    <row r="125" spans="1:6" s="38" customFormat="1" ht="38.25" x14ac:dyDescent="0.2">
      <c r="A125" s="25"/>
      <c r="B125" s="205" t="s">
        <v>145</v>
      </c>
      <c r="C125" s="54"/>
      <c r="D125" s="119"/>
      <c r="E125" s="54"/>
      <c r="F125" s="180"/>
    </row>
    <row r="126" spans="1:6" s="38" customFormat="1" x14ac:dyDescent="0.2">
      <c r="A126" s="25"/>
      <c r="B126" s="205" t="s">
        <v>146</v>
      </c>
      <c r="C126" s="54"/>
      <c r="D126" s="119"/>
      <c r="E126" s="54"/>
      <c r="F126" s="180"/>
    </row>
    <row r="127" spans="1:6" s="38" customFormat="1" x14ac:dyDescent="0.2">
      <c r="A127" s="25"/>
      <c r="B127" s="205" t="s">
        <v>147</v>
      </c>
      <c r="C127" s="54"/>
      <c r="D127" s="119"/>
      <c r="E127" s="54"/>
      <c r="F127" s="180"/>
    </row>
    <row r="128" spans="1:6" s="38" customFormat="1" x14ac:dyDescent="0.2">
      <c r="A128" s="25"/>
      <c r="B128" s="205" t="s">
        <v>148</v>
      </c>
      <c r="C128" s="54"/>
      <c r="D128" s="119"/>
      <c r="E128" s="54"/>
      <c r="F128" s="180"/>
    </row>
    <row r="129" spans="1:8" s="53" customFormat="1" x14ac:dyDescent="0.2">
      <c r="A129" s="25"/>
      <c r="B129" s="205" t="s">
        <v>149</v>
      </c>
      <c r="C129" s="54"/>
      <c r="D129" s="119"/>
      <c r="E129" s="54"/>
      <c r="F129" s="180"/>
    </row>
    <row r="130" spans="1:8" s="38" customFormat="1" x14ac:dyDescent="0.2">
      <c r="A130" s="25"/>
      <c r="B130" s="205" t="s">
        <v>150</v>
      </c>
      <c r="C130" s="54"/>
      <c r="D130" s="119"/>
      <c r="E130" s="54"/>
      <c r="F130" s="180"/>
    </row>
    <row r="131" spans="1:8" s="38" customFormat="1" x14ac:dyDescent="0.2">
      <c r="A131" s="25"/>
      <c r="B131" s="205" t="s">
        <v>151</v>
      </c>
      <c r="C131" s="54"/>
      <c r="D131" s="119"/>
      <c r="E131" s="54"/>
      <c r="F131" s="180"/>
    </row>
    <row r="132" spans="1:8" s="38" customFormat="1" ht="13.5" thickBot="1" x14ac:dyDescent="0.25">
      <c r="A132" s="181"/>
      <c r="B132" s="182" t="s">
        <v>152</v>
      </c>
      <c r="C132" s="200"/>
      <c r="D132" s="184"/>
      <c r="E132" s="200"/>
      <c r="F132" s="186"/>
    </row>
    <row r="133" spans="1:8" ht="13.5" thickBot="1" x14ac:dyDescent="0.25">
      <c r="A133" s="99"/>
      <c r="B133" s="258" t="s">
        <v>160</v>
      </c>
      <c r="C133" s="107">
        <f>SUM(C94:C132)</f>
        <v>0</v>
      </c>
      <c r="D133" s="107">
        <f>SUM(D94:D132)</f>
        <v>0</v>
      </c>
      <c r="E133" s="107">
        <f>SUM(E94:E132)</f>
        <v>0</v>
      </c>
      <c r="F133" s="107">
        <f>SUM(F94:F132)</f>
        <v>0</v>
      </c>
      <c r="H133" s="5"/>
    </row>
    <row r="134" spans="1:8" s="38" customFormat="1" x14ac:dyDescent="0.2">
      <c r="A134" s="210" t="s">
        <v>11</v>
      </c>
      <c r="B134" s="211" t="s">
        <v>153</v>
      </c>
      <c r="C134" s="213"/>
      <c r="D134" s="178"/>
      <c r="E134" s="213"/>
      <c r="F134" s="214"/>
    </row>
    <row r="135" spans="1:8" s="38" customFormat="1" x14ac:dyDescent="0.2">
      <c r="A135" s="25"/>
      <c r="B135" s="205" t="s">
        <v>163</v>
      </c>
      <c r="C135" s="54">
        <v>1</v>
      </c>
      <c r="D135" s="119">
        <v>175000</v>
      </c>
      <c r="E135" s="54"/>
      <c r="F135" s="180"/>
    </row>
    <row r="136" spans="1:8" s="38" customFormat="1" x14ac:dyDescent="0.2">
      <c r="A136" s="25"/>
      <c r="B136" s="205" t="s">
        <v>164</v>
      </c>
      <c r="C136" s="54"/>
      <c r="D136" s="119"/>
      <c r="E136" s="54"/>
      <c r="F136" s="180"/>
    </row>
    <row r="137" spans="1:8" s="38" customFormat="1" x14ac:dyDescent="0.2">
      <c r="A137" s="25"/>
      <c r="B137" s="205" t="s">
        <v>165</v>
      </c>
      <c r="C137" s="54"/>
      <c r="D137" s="119"/>
      <c r="E137" s="54"/>
      <c r="F137" s="180"/>
    </row>
    <row r="138" spans="1:8" s="38" customFormat="1" ht="15" x14ac:dyDescent="0.25">
      <c r="A138" s="25"/>
      <c r="B138" s="205" t="s">
        <v>166</v>
      </c>
      <c r="C138" s="47">
        <v>12</v>
      </c>
      <c r="D138" s="119">
        <v>220000</v>
      </c>
      <c r="E138" s="54"/>
      <c r="F138" s="180"/>
    </row>
    <row r="139" spans="1:8" s="38" customFormat="1" ht="15" x14ac:dyDescent="0.25">
      <c r="A139" s="25"/>
      <c r="B139" s="205" t="s">
        <v>167</v>
      </c>
      <c r="C139" s="47"/>
      <c r="D139" s="119"/>
      <c r="E139" s="54"/>
      <c r="F139" s="180"/>
    </row>
    <row r="140" spans="1:8" s="38" customFormat="1" x14ac:dyDescent="0.2">
      <c r="A140" s="25"/>
      <c r="B140" s="40" t="s">
        <v>168</v>
      </c>
      <c r="C140" s="54"/>
      <c r="D140" s="119"/>
      <c r="E140" s="54"/>
      <c r="F140" s="180"/>
    </row>
    <row r="141" spans="1:8" s="38" customFormat="1" ht="15" x14ac:dyDescent="0.25">
      <c r="A141" s="25"/>
      <c r="B141" s="40" t="s">
        <v>169</v>
      </c>
      <c r="C141" s="47">
        <v>1</v>
      </c>
      <c r="D141" s="119">
        <v>40000</v>
      </c>
      <c r="E141" s="54"/>
      <c r="F141" s="180"/>
    </row>
    <row r="142" spans="1:8" s="38" customFormat="1" x14ac:dyDescent="0.2">
      <c r="A142" s="25"/>
      <c r="B142" s="40" t="s">
        <v>170</v>
      </c>
      <c r="C142" s="54">
        <v>2</v>
      </c>
      <c r="D142" s="119">
        <v>145000</v>
      </c>
      <c r="E142" s="54"/>
      <c r="F142" s="180"/>
    </row>
    <row r="143" spans="1:8" s="38" customFormat="1" x14ac:dyDescent="0.2">
      <c r="A143" s="25"/>
      <c r="B143" s="40" t="s">
        <v>277</v>
      </c>
      <c r="C143" s="54"/>
      <c r="D143" s="119"/>
      <c r="E143" s="54"/>
      <c r="F143" s="180"/>
    </row>
    <row r="144" spans="1:8" s="38" customFormat="1" x14ac:dyDescent="0.2">
      <c r="A144" s="25"/>
      <c r="B144" s="40" t="s">
        <v>278</v>
      </c>
      <c r="C144" s="54"/>
      <c r="D144" s="119"/>
      <c r="E144" s="54"/>
      <c r="F144" s="180"/>
    </row>
    <row r="145" spans="1:6" s="38" customFormat="1" x14ac:dyDescent="0.2">
      <c r="A145" s="25"/>
      <c r="B145" s="40" t="s">
        <v>171</v>
      </c>
      <c r="C145" s="54"/>
      <c r="D145" s="119"/>
      <c r="E145" s="54"/>
      <c r="F145" s="180"/>
    </row>
    <row r="146" spans="1:6" s="38" customFormat="1" x14ac:dyDescent="0.2">
      <c r="A146" s="25"/>
      <c r="B146" s="24" t="s">
        <v>172</v>
      </c>
      <c r="C146" s="54">
        <v>1</v>
      </c>
      <c r="D146" s="119">
        <v>25000</v>
      </c>
      <c r="E146" s="54"/>
      <c r="F146" s="180"/>
    </row>
    <row r="147" spans="1:6" s="38" customFormat="1" ht="15" x14ac:dyDescent="0.25">
      <c r="A147" s="25"/>
      <c r="B147" s="40" t="s">
        <v>173</v>
      </c>
      <c r="C147" s="47">
        <v>3</v>
      </c>
      <c r="D147" s="119">
        <v>120000</v>
      </c>
      <c r="E147" s="54"/>
      <c r="F147" s="180"/>
    </row>
    <row r="148" spans="1:6" s="38" customFormat="1" x14ac:dyDescent="0.2">
      <c r="A148" s="25"/>
      <c r="B148" s="40" t="s">
        <v>174</v>
      </c>
      <c r="C148" s="54"/>
      <c r="D148" s="119"/>
      <c r="E148" s="54"/>
      <c r="F148" s="180"/>
    </row>
    <row r="149" spans="1:6" s="38" customFormat="1" x14ac:dyDescent="0.2">
      <c r="A149" s="25"/>
      <c r="B149" s="40" t="s">
        <v>175</v>
      </c>
      <c r="C149" s="54"/>
      <c r="D149" s="119"/>
      <c r="E149" s="54"/>
      <c r="F149" s="180"/>
    </row>
    <row r="150" spans="1:6" s="38" customFormat="1" x14ac:dyDescent="0.2">
      <c r="A150" s="25"/>
      <c r="B150" s="40" t="s">
        <v>176</v>
      </c>
      <c r="C150" s="54"/>
      <c r="D150" s="119"/>
      <c r="E150" s="54"/>
      <c r="F150" s="180"/>
    </row>
    <row r="151" spans="1:6" s="38" customFormat="1" x14ac:dyDescent="0.2">
      <c r="A151" s="25"/>
      <c r="B151" s="321" t="s">
        <v>177</v>
      </c>
      <c r="C151" s="54"/>
      <c r="D151" s="119"/>
      <c r="E151" s="54"/>
      <c r="F151" s="180"/>
    </row>
    <row r="152" spans="1:6" s="38" customFormat="1" x14ac:dyDescent="0.2">
      <c r="A152" s="25"/>
      <c r="B152" s="144" t="s">
        <v>178</v>
      </c>
      <c r="C152" s="54"/>
      <c r="D152" s="119"/>
      <c r="E152" s="54"/>
      <c r="F152" s="180"/>
    </row>
    <row r="153" spans="1:6" s="38" customFormat="1" x14ac:dyDescent="0.2">
      <c r="A153" s="25"/>
      <c r="B153" s="319" t="s">
        <v>179</v>
      </c>
      <c r="C153" s="54"/>
      <c r="D153" s="119"/>
      <c r="E153" s="54"/>
      <c r="F153" s="180"/>
    </row>
    <row r="154" spans="1:6" s="38" customFormat="1" x14ac:dyDescent="0.2">
      <c r="A154" s="25"/>
      <c r="B154" s="24" t="s">
        <v>180</v>
      </c>
      <c r="C154" s="54"/>
      <c r="D154" s="119"/>
      <c r="E154" s="54"/>
      <c r="F154" s="180"/>
    </row>
    <row r="155" spans="1:6" s="38" customFormat="1" x14ac:dyDescent="0.2">
      <c r="A155" s="25"/>
      <c r="B155" s="24" t="s">
        <v>181</v>
      </c>
      <c r="C155" s="54"/>
      <c r="D155" s="119"/>
      <c r="E155" s="54"/>
      <c r="F155" s="180"/>
    </row>
    <row r="156" spans="1:6" s="38" customFormat="1" x14ac:dyDescent="0.2">
      <c r="A156" s="25"/>
      <c r="B156" s="24" t="s">
        <v>182</v>
      </c>
      <c r="C156" s="54"/>
      <c r="D156" s="119"/>
      <c r="E156" s="54"/>
      <c r="F156" s="180"/>
    </row>
    <row r="157" spans="1:6" s="38" customFormat="1" x14ac:dyDescent="0.2">
      <c r="A157" s="25"/>
      <c r="B157" s="24" t="s">
        <v>183</v>
      </c>
      <c r="C157" s="54"/>
      <c r="D157" s="119"/>
      <c r="E157" s="54"/>
      <c r="F157" s="180"/>
    </row>
    <row r="158" spans="1:6" s="38" customFormat="1" x14ac:dyDescent="0.2">
      <c r="A158" s="25"/>
      <c r="B158" s="24" t="s">
        <v>184</v>
      </c>
      <c r="C158" s="54"/>
      <c r="D158" s="119"/>
      <c r="E158" s="54"/>
      <c r="F158" s="180"/>
    </row>
    <row r="159" spans="1:6" s="38" customFormat="1" ht="25.5" x14ac:dyDescent="0.2">
      <c r="A159" s="25"/>
      <c r="B159" s="24" t="s">
        <v>185</v>
      </c>
      <c r="C159" s="54"/>
      <c r="D159" s="119"/>
      <c r="E159" s="54"/>
      <c r="F159" s="180"/>
    </row>
    <row r="160" spans="1:6" s="38" customFormat="1" x14ac:dyDescent="0.2">
      <c r="A160" s="25"/>
      <c r="B160" s="319" t="s">
        <v>186</v>
      </c>
      <c r="C160" s="54"/>
      <c r="D160" s="119"/>
      <c r="E160" s="54"/>
      <c r="F160" s="180"/>
    </row>
    <row r="161" spans="1:8" s="38" customFormat="1" x14ac:dyDescent="0.2">
      <c r="A161" s="25"/>
      <c r="B161" s="24" t="s">
        <v>187</v>
      </c>
      <c r="C161" s="54"/>
      <c r="D161" s="119"/>
      <c r="E161" s="54"/>
      <c r="F161" s="180"/>
    </row>
    <row r="162" spans="1:8" s="38" customFormat="1" x14ac:dyDescent="0.2">
      <c r="A162" s="25"/>
      <c r="B162" s="24" t="s">
        <v>188</v>
      </c>
      <c r="C162" s="54"/>
      <c r="D162" s="119"/>
      <c r="E162" s="54"/>
      <c r="F162" s="180"/>
    </row>
    <row r="163" spans="1:8" s="38" customFormat="1" x14ac:dyDescent="0.2">
      <c r="A163" s="25"/>
      <c r="B163" s="24" t="s">
        <v>189</v>
      </c>
      <c r="C163" s="54"/>
      <c r="D163" s="119"/>
      <c r="E163" s="54"/>
      <c r="F163" s="180"/>
    </row>
    <row r="164" spans="1:8" s="38" customFormat="1" x14ac:dyDescent="0.2">
      <c r="A164" s="25"/>
      <c r="B164" s="40" t="s">
        <v>190</v>
      </c>
      <c r="C164" s="54"/>
      <c r="D164" s="119"/>
      <c r="E164" s="54"/>
      <c r="F164" s="180"/>
    </row>
    <row r="165" spans="1:8" s="38" customFormat="1" ht="13.5" thickBot="1" x14ac:dyDescent="0.25">
      <c r="A165" s="25"/>
      <c r="B165" s="24" t="s">
        <v>191</v>
      </c>
      <c r="C165" s="54">
        <v>2</v>
      </c>
      <c r="D165" s="119">
        <v>80000</v>
      </c>
      <c r="E165" s="54"/>
      <c r="F165" s="180"/>
    </row>
    <row r="166" spans="1:8" ht="13.5" thickBot="1" x14ac:dyDescent="0.25">
      <c r="A166" s="108"/>
      <c r="B166" s="169" t="s">
        <v>161</v>
      </c>
      <c r="C166" s="170">
        <f>SUM(C135:C165)</f>
        <v>22</v>
      </c>
      <c r="D166" s="170">
        <f>SUM(D135:D165)</f>
        <v>805000</v>
      </c>
      <c r="E166" s="170">
        <f>SUM(E135:E165)</f>
        <v>0</v>
      </c>
      <c r="F166" s="105">
        <f>SUM(F135:F165)</f>
        <v>0</v>
      </c>
      <c r="H166" s="5"/>
    </row>
    <row r="167" spans="1:8" s="38" customFormat="1" ht="13.5" thickBot="1" x14ac:dyDescent="0.25">
      <c r="A167" s="59"/>
      <c r="B167" s="264"/>
      <c r="C167" s="61"/>
      <c r="D167" s="217"/>
      <c r="E167" s="61"/>
      <c r="F167" s="110"/>
    </row>
    <row r="168" spans="1:8" ht="16.5" thickBot="1" x14ac:dyDescent="0.3">
      <c r="A168" s="218"/>
      <c r="B168" s="219" t="s">
        <v>162</v>
      </c>
      <c r="C168" s="220">
        <f>C12+C48+C60+C73+C77+C92+C133+C166</f>
        <v>200</v>
      </c>
      <c r="D168" s="220">
        <f>D12+D48+D60+D73+D77+D92+D133+D166</f>
        <v>5112200</v>
      </c>
      <c r="E168" s="220">
        <f>E12+E48+E60+E73+E77+E92+E133+E166</f>
        <v>0</v>
      </c>
      <c r="F168" s="221">
        <f>F12+F48+F60+F73+F77+F92+F133+F166</f>
        <v>0</v>
      </c>
      <c r="H168" s="5"/>
    </row>
    <row r="169" spans="1:8" x14ac:dyDescent="0.2">
      <c r="H169" s="5"/>
    </row>
    <row r="170" spans="1:8" x14ac:dyDescent="0.2">
      <c r="H170" s="5"/>
    </row>
    <row r="171" spans="1:8" x14ac:dyDescent="0.2">
      <c r="D171" s="13" t="s">
        <v>14</v>
      </c>
      <c r="H171" s="5"/>
    </row>
    <row r="172" spans="1:8" x14ac:dyDescent="0.2">
      <c r="H172" s="5"/>
    </row>
    <row r="173" spans="1:8" x14ac:dyDescent="0.2">
      <c r="H173" s="5"/>
    </row>
    <row r="174" spans="1:8" x14ac:dyDescent="0.2">
      <c r="H174" s="5"/>
    </row>
    <row r="175" spans="1:8" x14ac:dyDescent="0.2">
      <c r="H175" s="5"/>
    </row>
    <row r="176" spans="1:8" x14ac:dyDescent="0.2">
      <c r="H176" s="5"/>
    </row>
    <row r="177" spans="1:8" x14ac:dyDescent="0.2">
      <c r="H177" s="5"/>
    </row>
    <row r="178" spans="1:8" x14ac:dyDescent="0.2">
      <c r="H178" s="5"/>
    </row>
    <row r="179" spans="1:8" x14ac:dyDescent="0.2">
      <c r="H179" s="5"/>
    </row>
    <row r="180" spans="1:8" x14ac:dyDescent="0.2">
      <c r="H180" s="5"/>
    </row>
    <row r="181" spans="1:8" x14ac:dyDescent="0.2">
      <c r="H181" s="5"/>
    </row>
    <row r="182" spans="1:8" x14ac:dyDescent="0.2">
      <c r="A182" s="5"/>
      <c r="B182" s="5"/>
      <c r="C182" s="5"/>
      <c r="D182" s="5"/>
      <c r="H182" s="5"/>
    </row>
    <row r="183" spans="1:8" x14ac:dyDescent="0.2">
      <c r="A183" s="5"/>
      <c r="B183" s="5"/>
      <c r="C183" s="5"/>
      <c r="D183" s="5"/>
      <c r="H183" s="5"/>
    </row>
    <row r="184" spans="1:8" x14ac:dyDescent="0.2">
      <c r="H184" s="5"/>
    </row>
  </sheetData>
  <mergeCells count="4">
    <mergeCell ref="C4:D4"/>
    <mergeCell ref="E4:F4"/>
    <mergeCell ref="C3:D3"/>
    <mergeCell ref="E3:F3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H184"/>
  <sheetViews>
    <sheetView zoomScale="105" zoomScaleNormal="105" workbookViewId="0">
      <pane xSplit="2" ySplit="5" topLeftCell="C132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70.140625" style="9" customWidth="1"/>
    <col min="3" max="3" width="10" style="12" customWidth="1"/>
    <col min="4" max="4" width="20" style="13" bestFit="1" customWidth="1"/>
    <col min="5" max="5" width="10.140625" style="5" customWidth="1"/>
    <col min="6" max="6" width="14.7109375" style="5" customWidth="1"/>
    <col min="7" max="7" width="9.140625" style="38"/>
    <col min="9" max="16384" width="9.140625" style="5"/>
  </cols>
  <sheetData>
    <row r="1" spans="1:8" ht="14.45" customHeight="1" x14ac:dyDescent="0.2">
      <c r="A1" s="1"/>
      <c r="B1" s="14" t="s">
        <v>55</v>
      </c>
      <c r="C1" s="4"/>
      <c r="D1" s="3"/>
      <c r="H1" s="5"/>
    </row>
    <row r="2" spans="1:8" ht="14.45" customHeight="1" thickBot="1" x14ac:dyDescent="0.25">
      <c r="A2" s="1"/>
      <c r="B2" s="2"/>
      <c r="C2" s="4"/>
      <c r="D2" s="3"/>
      <c r="F2" s="17" t="s">
        <v>236</v>
      </c>
      <c r="H2" s="5"/>
    </row>
    <row r="3" spans="1:8" s="6" customFormat="1" ht="19.5" customHeight="1" thickBot="1" x14ac:dyDescent="0.3">
      <c r="A3" s="70"/>
      <c r="B3" s="71"/>
      <c r="C3" s="413" t="s">
        <v>56</v>
      </c>
      <c r="D3" s="415"/>
      <c r="E3" s="419" t="s">
        <v>56</v>
      </c>
      <c r="F3" s="420"/>
      <c r="G3" s="50" t="s">
        <v>60</v>
      </c>
    </row>
    <row r="4" spans="1:8" s="6" customFormat="1" ht="32.25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50"/>
    </row>
    <row r="5" spans="1:8" s="7" customFormat="1" ht="35.25" customHeight="1" thickBot="1" x14ac:dyDescent="0.25">
      <c r="A5" s="257" t="s">
        <v>62</v>
      </c>
      <c r="B5" s="257" t="s">
        <v>63</v>
      </c>
      <c r="C5" s="162" t="s">
        <v>57</v>
      </c>
      <c r="D5" s="158" t="s">
        <v>58</v>
      </c>
      <c r="E5" s="162" t="s">
        <v>57</v>
      </c>
      <c r="F5" s="158" t="s">
        <v>58</v>
      </c>
      <c r="G5" s="51"/>
    </row>
    <row r="6" spans="1:8" s="52" customFormat="1" x14ac:dyDescent="0.2">
      <c r="A6" s="175" t="s">
        <v>2</v>
      </c>
      <c r="B6" s="176" t="s">
        <v>3</v>
      </c>
      <c r="C6" s="177"/>
      <c r="D6" s="178"/>
      <c r="E6" s="177"/>
      <c r="F6" s="179"/>
    </row>
    <row r="7" spans="1:8" x14ac:dyDescent="0.2">
      <c r="A7" s="86"/>
      <c r="B7" s="89" t="s">
        <v>18</v>
      </c>
      <c r="C7" s="90"/>
      <c r="D7" s="91"/>
      <c r="E7" s="90"/>
      <c r="F7" s="224"/>
      <c r="G7" s="5"/>
      <c r="H7" s="5"/>
    </row>
    <row r="8" spans="1:8" x14ac:dyDescent="0.2">
      <c r="A8" s="86"/>
      <c r="B8" s="89" t="s">
        <v>4</v>
      </c>
      <c r="C8" s="90"/>
      <c r="D8" s="91"/>
      <c r="E8" s="90"/>
      <c r="F8" s="224"/>
      <c r="G8" s="5"/>
      <c r="H8" s="5"/>
    </row>
    <row r="9" spans="1:8" x14ac:dyDescent="0.2">
      <c r="A9" s="86"/>
      <c r="B9" s="89" t="s">
        <v>17</v>
      </c>
      <c r="C9" s="90"/>
      <c r="D9" s="91"/>
      <c r="E9" s="90"/>
      <c r="F9" s="224"/>
      <c r="G9" s="5"/>
      <c r="H9" s="5"/>
    </row>
    <row r="10" spans="1:8" x14ac:dyDescent="0.2">
      <c r="A10" s="86"/>
      <c r="B10" s="89" t="s">
        <v>15</v>
      </c>
      <c r="C10" s="90">
        <v>1</v>
      </c>
      <c r="D10" s="91">
        <v>260000</v>
      </c>
      <c r="E10" s="90"/>
      <c r="F10" s="224"/>
      <c r="G10" s="5"/>
      <c r="H10" s="5"/>
    </row>
    <row r="11" spans="1:8" ht="13.5" thickBot="1" x14ac:dyDescent="0.25">
      <c r="A11" s="247"/>
      <c r="B11" s="164" t="s">
        <v>16</v>
      </c>
      <c r="C11" s="166">
        <v>1</v>
      </c>
      <c r="D11" s="165">
        <v>200000</v>
      </c>
      <c r="E11" s="166"/>
      <c r="F11" s="248"/>
      <c r="G11" s="5"/>
      <c r="H11" s="5"/>
    </row>
    <row r="12" spans="1:8" s="9" customFormat="1" ht="13.5" thickBot="1" x14ac:dyDescent="0.25">
      <c r="A12" s="171"/>
      <c r="B12" s="172" t="s">
        <v>155</v>
      </c>
      <c r="C12" s="173">
        <f>SUM(C6:C11)</f>
        <v>2</v>
      </c>
      <c r="D12" s="173">
        <f>SUM(D6:D11)</f>
        <v>460000</v>
      </c>
      <c r="E12" s="173">
        <f>SUM(E6:E11)</f>
        <v>0</v>
      </c>
      <c r="F12" s="174">
        <f>SUM(F6:F11)</f>
        <v>0</v>
      </c>
    </row>
    <row r="13" spans="1:8" s="52" customFormat="1" x14ac:dyDescent="0.2">
      <c r="A13" s="175" t="s">
        <v>5</v>
      </c>
      <c r="B13" s="176" t="s">
        <v>89</v>
      </c>
      <c r="C13" s="176"/>
      <c r="D13" s="176"/>
      <c r="E13" s="177"/>
      <c r="F13" s="179"/>
    </row>
    <row r="14" spans="1:8" s="52" customFormat="1" x14ac:dyDescent="0.2">
      <c r="A14" s="25"/>
      <c r="B14" s="209" t="s">
        <v>19</v>
      </c>
      <c r="C14" s="121">
        <v>10</v>
      </c>
      <c r="D14" s="119">
        <f>C14*3000</f>
        <v>30000</v>
      </c>
      <c r="E14" s="54"/>
      <c r="F14" s="180"/>
    </row>
    <row r="15" spans="1:8" s="52" customFormat="1" x14ac:dyDescent="0.2">
      <c r="A15" s="25"/>
      <c r="B15" s="209" t="s">
        <v>20</v>
      </c>
      <c r="C15" s="121">
        <v>1</v>
      </c>
      <c r="D15" s="119">
        <f>C15*11000</f>
        <v>11000</v>
      </c>
      <c r="E15" s="54"/>
      <c r="F15" s="180"/>
    </row>
    <row r="16" spans="1:8" s="52" customFormat="1" x14ac:dyDescent="0.2">
      <c r="A16" s="25"/>
      <c r="B16" s="318" t="s">
        <v>21</v>
      </c>
      <c r="C16" s="121">
        <v>10</v>
      </c>
      <c r="D16" s="119">
        <f>C16*4500</f>
        <v>45000</v>
      </c>
      <c r="E16" s="54"/>
      <c r="F16" s="180"/>
    </row>
    <row r="17" spans="1:6" s="52" customFormat="1" x14ac:dyDescent="0.2">
      <c r="A17" s="25"/>
      <c r="B17" s="318" t="s">
        <v>23</v>
      </c>
      <c r="C17" s="121">
        <v>5</v>
      </c>
      <c r="D17" s="119">
        <f>C17*4500</f>
        <v>22500</v>
      </c>
      <c r="E17" s="54"/>
      <c r="F17" s="180"/>
    </row>
    <row r="18" spans="1:6" s="38" customFormat="1" x14ac:dyDescent="0.2">
      <c r="A18" s="25"/>
      <c r="B18" s="318" t="s">
        <v>24</v>
      </c>
      <c r="C18" s="121"/>
      <c r="D18" s="119">
        <f>C18*9000</f>
        <v>0</v>
      </c>
      <c r="E18" s="54"/>
      <c r="F18" s="180"/>
    </row>
    <row r="19" spans="1:6" s="38" customFormat="1" x14ac:dyDescent="0.2">
      <c r="A19" s="25"/>
      <c r="B19" s="48" t="s">
        <v>25</v>
      </c>
      <c r="C19" s="121"/>
      <c r="D19" s="119"/>
      <c r="E19" s="54"/>
      <c r="F19" s="180"/>
    </row>
    <row r="20" spans="1:6" s="38" customFormat="1" x14ac:dyDescent="0.2">
      <c r="A20" s="25"/>
      <c r="B20" s="209" t="s">
        <v>26</v>
      </c>
      <c r="C20" s="121"/>
      <c r="D20" s="119"/>
      <c r="E20" s="54"/>
      <c r="F20" s="180"/>
    </row>
    <row r="21" spans="1:6" s="38" customFormat="1" x14ac:dyDescent="0.2">
      <c r="A21" s="25"/>
      <c r="B21" s="209" t="s">
        <v>27</v>
      </c>
      <c r="C21" s="121">
        <v>10</v>
      </c>
      <c r="D21" s="119">
        <f>C21*1500</f>
        <v>15000</v>
      </c>
      <c r="E21" s="54"/>
      <c r="F21" s="180"/>
    </row>
    <row r="22" spans="1:6" s="38" customFormat="1" x14ac:dyDescent="0.2">
      <c r="A22" s="25"/>
      <c r="B22" s="48" t="s">
        <v>28</v>
      </c>
      <c r="C22" s="121">
        <v>4</v>
      </c>
      <c r="D22" s="119">
        <f>C22*4000</f>
        <v>16000</v>
      </c>
      <c r="E22" s="54"/>
      <c r="F22" s="180"/>
    </row>
    <row r="23" spans="1:6" s="38" customFormat="1" x14ac:dyDescent="0.2">
      <c r="A23" s="25"/>
      <c r="B23" s="48" t="s">
        <v>29</v>
      </c>
      <c r="C23" s="54"/>
      <c r="D23" s="119"/>
      <c r="E23" s="54"/>
      <c r="F23" s="180"/>
    </row>
    <row r="24" spans="1:6" s="38" customFormat="1" x14ac:dyDescent="0.2">
      <c r="A24" s="25"/>
      <c r="B24" s="48" t="s">
        <v>30</v>
      </c>
      <c r="C24" s="121">
        <v>4</v>
      </c>
      <c r="D24" s="119">
        <f>C24*3000</f>
        <v>12000</v>
      </c>
      <c r="E24" s="54"/>
      <c r="F24" s="180"/>
    </row>
    <row r="25" spans="1:6" s="38" customFormat="1" x14ac:dyDescent="0.2">
      <c r="A25" s="25"/>
      <c r="B25" s="48" t="s">
        <v>31</v>
      </c>
      <c r="C25" s="121">
        <v>3</v>
      </c>
      <c r="D25" s="119">
        <f>C25*4000</f>
        <v>12000</v>
      </c>
      <c r="E25" s="54"/>
      <c r="F25" s="180"/>
    </row>
    <row r="26" spans="1:6" s="38" customFormat="1" x14ac:dyDescent="0.2">
      <c r="A26" s="25"/>
      <c r="B26" s="209" t="s">
        <v>32</v>
      </c>
      <c r="C26" s="121">
        <v>15</v>
      </c>
      <c r="D26" s="119">
        <f>C26*2500</f>
        <v>37500</v>
      </c>
      <c r="E26" s="54"/>
      <c r="F26" s="180"/>
    </row>
    <row r="27" spans="1:6" s="38" customFormat="1" x14ac:dyDescent="0.2">
      <c r="A27" s="25"/>
      <c r="B27" s="209" t="s">
        <v>33</v>
      </c>
      <c r="C27" s="121">
        <v>15</v>
      </c>
      <c r="D27" s="119">
        <f>C27*2500</f>
        <v>37500</v>
      </c>
      <c r="E27" s="54"/>
      <c r="F27" s="180"/>
    </row>
    <row r="28" spans="1:6" s="38" customFormat="1" x14ac:dyDescent="0.2">
      <c r="A28" s="25"/>
      <c r="B28" s="209" t="s">
        <v>35</v>
      </c>
      <c r="C28" s="121">
        <v>15</v>
      </c>
      <c r="D28" s="119">
        <f>C28*2000</f>
        <v>30000</v>
      </c>
      <c r="E28" s="54"/>
      <c r="F28" s="180"/>
    </row>
    <row r="29" spans="1:6" s="38" customFormat="1" x14ac:dyDescent="0.2">
      <c r="A29" s="25"/>
      <c r="B29" s="209" t="s">
        <v>36</v>
      </c>
      <c r="C29" s="121">
        <v>2</v>
      </c>
      <c r="D29" s="119">
        <f>C29*5000</f>
        <v>10000</v>
      </c>
      <c r="E29" s="54"/>
      <c r="F29" s="180"/>
    </row>
    <row r="30" spans="1:6" s="38" customFormat="1" x14ac:dyDescent="0.2">
      <c r="A30" s="25"/>
      <c r="B30" s="209" t="s">
        <v>37</v>
      </c>
      <c r="C30" s="121">
        <v>10</v>
      </c>
      <c r="D30" s="119">
        <f>C30*3000</f>
        <v>30000</v>
      </c>
      <c r="E30" s="54"/>
      <c r="F30" s="180"/>
    </row>
    <row r="31" spans="1:6" s="38" customFormat="1" x14ac:dyDescent="0.2">
      <c r="A31" s="25"/>
      <c r="B31" s="48" t="s">
        <v>38</v>
      </c>
      <c r="C31" s="121">
        <v>10</v>
      </c>
      <c r="D31" s="119">
        <f>C31*2500</f>
        <v>25000</v>
      </c>
      <c r="E31" s="54"/>
      <c r="F31" s="180"/>
    </row>
    <row r="32" spans="1:6" s="38" customFormat="1" x14ac:dyDescent="0.2">
      <c r="A32" s="25"/>
      <c r="B32" s="209" t="s">
        <v>39</v>
      </c>
      <c r="C32" s="121">
        <v>5</v>
      </c>
      <c r="D32" s="119">
        <f>C32*2000</f>
        <v>10000</v>
      </c>
      <c r="E32" s="54"/>
      <c r="F32" s="180"/>
    </row>
    <row r="33" spans="1:8" s="38" customFormat="1" x14ac:dyDescent="0.2">
      <c r="A33" s="25"/>
      <c r="B33" s="209" t="s">
        <v>40</v>
      </c>
      <c r="C33" s="121">
        <v>5</v>
      </c>
      <c r="D33" s="119">
        <f>C33*3000</f>
        <v>15000</v>
      </c>
      <c r="E33" s="54"/>
      <c r="F33" s="180"/>
    </row>
    <row r="34" spans="1:8" s="38" customFormat="1" x14ac:dyDescent="0.2">
      <c r="A34" s="25"/>
      <c r="B34" s="209" t="s">
        <v>41</v>
      </c>
      <c r="C34" s="121">
        <v>5</v>
      </c>
      <c r="D34" s="119">
        <f>C34*2500</f>
        <v>12500</v>
      </c>
      <c r="E34" s="54"/>
      <c r="F34" s="180"/>
    </row>
    <row r="35" spans="1:8" s="38" customFormat="1" x14ac:dyDescent="0.2">
      <c r="A35" s="25"/>
      <c r="B35" s="209" t="s">
        <v>42</v>
      </c>
      <c r="C35" s="121">
        <v>5</v>
      </c>
      <c r="D35" s="119">
        <f>C35*2000</f>
        <v>10000</v>
      </c>
      <c r="E35" s="54"/>
      <c r="F35" s="180"/>
    </row>
    <row r="36" spans="1:8" s="38" customFormat="1" x14ac:dyDescent="0.2">
      <c r="A36" s="25"/>
      <c r="B36" s="48" t="s">
        <v>43</v>
      </c>
      <c r="C36" s="121">
        <v>10</v>
      </c>
      <c r="D36" s="119">
        <f>C36*1200</f>
        <v>12000</v>
      </c>
      <c r="E36" s="54"/>
      <c r="F36" s="180"/>
    </row>
    <row r="37" spans="1:8" s="38" customFormat="1" x14ac:dyDescent="0.2">
      <c r="A37" s="25"/>
      <c r="B37" s="48" t="s">
        <v>44</v>
      </c>
      <c r="C37" s="121">
        <v>4</v>
      </c>
      <c r="D37" s="119">
        <f>C37*2000</f>
        <v>8000</v>
      </c>
      <c r="E37" s="54"/>
      <c r="F37" s="180"/>
    </row>
    <row r="38" spans="1:8" s="38" customFormat="1" x14ac:dyDescent="0.2">
      <c r="A38" s="25"/>
      <c r="B38" s="48" t="s">
        <v>45</v>
      </c>
      <c r="C38" s="121">
        <v>4</v>
      </c>
      <c r="D38" s="119">
        <f>C38*7500</f>
        <v>30000</v>
      </c>
      <c r="E38" s="54"/>
      <c r="F38" s="180"/>
    </row>
    <row r="39" spans="1:8" s="38" customFormat="1" x14ac:dyDescent="0.2">
      <c r="A39" s="25"/>
      <c r="B39" s="48" t="s">
        <v>46</v>
      </c>
      <c r="C39" s="121">
        <v>2</v>
      </c>
      <c r="D39" s="119">
        <f>C39*9000</f>
        <v>18000</v>
      </c>
      <c r="E39" s="54"/>
      <c r="F39" s="180"/>
    </row>
    <row r="40" spans="1:8" s="38" customFormat="1" x14ac:dyDescent="0.2">
      <c r="A40" s="25"/>
      <c r="B40" s="209" t="s">
        <v>47</v>
      </c>
      <c r="C40" s="121">
        <v>10</v>
      </c>
      <c r="D40" s="119">
        <f>1500*C40</f>
        <v>15000</v>
      </c>
      <c r="E40" s="54"/>
      <c r="F40" s="180"/>
    </row>
    <row r="41" spans="1:8" s="38" customFormat="1" x14ac:dyDescent="0.2">
      <c r="A41" s="25"/>
      <c r="B41" s="209" t="s">
        <v>48</v>
      </c>
      <c r="C41" s="121">
        <v>40</v>
      </c>
      <c r="D41" s="119">
        <f>800*C41</f>
        <v>32000</v>
      </c>
      <c r="E41" s="54"/>
      <c r="F41" s="180"/>
    </row>
    <row r="42" spans="1:8" s="38" customFormat="1" x14ac:dyDescent="0.2">
      <c r="A42" s="25"/>
      <c r="B42" s="48" t="s">
        <v>49</v>
      </c>
      <c r="C42" s="121"/>
      <c r="D42" s="119"/>
      <c r="E42" s="54"/>
      <c r="F42" s="180"/>
    </row>
    <row r="43" spans="1:8" s="38" customFormat="1" x14ac:dyDescent="0.2">
      <c r="A43" s="25"/>
      <c r="B43" s="48" t="s">
        <v>50</v>
      </c>
      <c r="C43" s="121">
        <v>4</v>
      </c>
      <c r="D43" s="119">
        <f>C43*3000</f>
        <v>12000</v>
      </c>
      <c r="E43" s="54"/>
      <c r="F43" s="180"/>
    </row>
    <row r="44" spans="1:8" s="38" customFormat="1" x14ac:dyDescent="0.2">
      <c r="A44" s="25"/>
      <c r="B44" s="48" t="s">
        <v>51</v>
      </c>
      <c r="C44" s="121">
        <v>1</v>
      </c>
      <c r="D44" s="119">
        <f>C44*4000</f>
        <v>4000</v>
      </c>
      <c r="E44" s="54"/>
      <c r="F44" s="180"/>
    </row>
    <row r="45" spans="1:8" s="38" customFormat="1" x14ac:dyDescent="0.2">
      <c r="A45" s="25"/>
      <c r="B45" s="48" t="s">
        <v>52</v>
      </c>
      <c r="C45" s="121">
        <v>8</v>
      </c>
      <c r="D45" s="119">
        <f>C45*3000</f>
        <v>24000</v>
      </c>
      <c r="E45" s="54"/>
      <c r="F45" s="180"/>
    </row>
    <row r="46" spans="1:8" s="38" customFormat="1" x14ac:dyDescent="0.2">
      <c r="A46" s="25"/>
      <c r="B46" s="209" t="s">
        <v>53</v>
      </c>
      <c r="C46" s="121">
        <v>10</v>
      </c>
      <c r="D46" s="119">
        <f>C46*3000</f>
        <v>30000</v>
      </c>
      <c r="E46" s="54"/>
      <c r="F46" s="180"/>
    </row>
    <row r="47" spans="1:8" s="38" customFormat="1" ht="13.5" thickBot="1" x14ac:dyDescent="0.25">
      <c r="A47" s="187"/>
      <c r="B47" s="188" t="s">
        <v>54</v>
      </c>
      <c r="C47" s="265">
        <v>10</v>
      </c>
      <c r="D47" s="189">
        <f>C47*4500</f>
        <v>45000</v>
      </c>
      <c r="E47" s="202"/>
      <c r="F47" s="191"/>
    </row>
    <row r="48" spans="1:8" ht="13.5" thickBot="1" x14ac:dyDescent="0.25">
      <c r="A48" s="171"/>
      <c r="B48" s="172" t="s">
        <v>154</v>
      </c>
      <c r="C48" s="173">
        <f>SUM(C14:C47)</f>
        <v>237</v>
      </c>
      <c r="D48" s="173">
        <f t="shared" ref="D48:F48" si="0">SUM(D14:D47)</f>
        <v>611000</v>
      </c>
      <c r="E48" s="173">
        <f t="shared" si="0"/>
        <v>0</v>
      </c>
      <c r="F48" s="173">
        <f t="shared" si="0"/>
        <v>0</v>
      </c>
      <c r="H48" s="5"/>
    </row>
    <row r="49" spans="1:8" s="38" customFormat="1" x14ac:dyDescent="0.2">
      <c r="A49" s="175" t="s">
        <v>6</v>
      </c>
      <c r="B49" s="194" t="s">
        <v>61</v>
      </c>
      <c r="C49" s="177"/>
      <c r="D49" s="178"/>
      <c r="E49" s="177"/>
      <c r="F49" s="179"/>
    </row>
    <row r="50" spans="1:8" s="38" customFormat="1" ht="15" x14ac:dyDescent="0.25">
      <c r="A50" s="25"/>
      <c r="B50" s="48" t="s">
        <v>64</v>
      </c>
      <c r="C50" s="47">
        <v>6</v>
      </c>
      <c r="D50" s="119">
        <f>C50*8000</f>
        <v>48000</v>
      </c>
      <c r="E50" s="54"/>
      <c r="F50" s="180"/>
    </row>
    <row r="51" spans="1:8" s="38" customFormat="1" ht="15" x14ac:dyDescent="0.25">
      <c r="A51" s="25"/>
      <c r="B51" s="48" t="s">
        <v>65</v>
      </c>
      <c r="C51" s="47">
        <v>2</v>
      </c>
      <c r="D51" s="119">
        <f>C51*18000</f>
        <v>36000</v>
      </c>
      <c r="E51" s="54"/>
      <c r="F51" s="180"/>
    </row>
    <row r="52" spans="1:8" s="38" customFormat="1" x14ac:dyDescent="0.2">
      <c r="A52" s="25"/>
      <c r="B52" s="193" t="s">
        <v>66</v>
      </c>
      <c r="C52" s="54">
        <v>1</v>
      </c>
      <c r="D52" s="119">
        <f>C52*3000</f>
        <v>3000</v>
      </c>
      <c r="E52" s="54"/>
      <c r="F52" s="180"/>
      <c r="G52" s="266"/>
    </row>
    <row r="53" spans="1:8" s="38" customFormat="1" ht="15" x14ac:dyDescent="0.25">
      <c r="A53" s="25"/>
      <c r="B53" s="48" t="s">
        <v>67</v>
      </c>
      <c r="C53" s="54">
        <v>3</v>
      </c>
      <c r="D53" s="119">
        <f>C53*6000</f>
        <v>18000</v>
      </c>
      <c r="E53" s="54"/>
      <c r="F53" s="267"/>
      <c r="G53" s="266"/>
    </row>
    <row r="54" spans="1:8" s="38" customFormat="1" ht="15" x14ac:dyDescent="0.25">
      <c r="A54" s="25"/>
      <c r="B54" s="48" t="s">
        <v>68</v>
      </c>
      <c r="C54" s="47">
        <v>1</v>
      </c>
      <c r="D54" s="119">
        <f>C54*8000</f>
        <v>8000</v>
      </c>
      <c r="E54" s="54"/>
      <c r="F54" s="180"/>
      <c r="G54" s="266"/>
    </row>
    <row r="55" spans="1:8" s="38" customFormat="1" x14ac:dyDescent="0.2">
      <c r="A55" s="143"/>
      <c r="B55" s="48" t="s">
        <v>69</v>
      </c>
      <c r="C55" s="121"/>
      <c r="D55" s="119">
        <f>C55*5000</f>
        <v>0</v>
      </c>
      <c r="E55" s="54"/>
      <c r="F55" s="180"/>
      <c r="G55" s="266"/>
    </row>
    <row r="56" spans="1:8" s="38" customFormat="1" x14ac:dyDescent="0.2">
      <c r="A56" s="143"/>
      <c r="B56" s="48" t="s">
        <v>70</v>
      </c>
      <c r="C56" s="121"/>
      <c r="D56" s="119"/>
      <c r="E56" s="54"/>
      <c r="F56" s="180"/>
      <c r="G56" s="266"/>
    </row>
    <row r="57" spans="1:8" s="38" customFormat="1" x14ac:dyDescent="0.2">
      <c r="A57" s="143"/>
      <c r="B57" s="48" t="s">
        <v>71</v>
      </c>
      <c r="C57" s="54">
        <v>1</v>
      </c>
      <c r="D57" s="119">
        <f>C57*10000</f>
        <v>10000</v>
      </c>
      <c r="E57" s="54"/>
      <c r="F57" s="180"/>
    </row>
    <row r="58" spans="1:8" s="38" customFormat="1" x14ac:dyDescent="0.2">
      <c r="A58" s="197"/>
      <c r="B58" s="188" t="s">
        <v>72</v>
      </c>
      <c r="C58" s="202"/>
      <c r="D58" s="189"/>
      <c r="E58" s="202"/>
      <c r="F58" s="191"/>
    </row>
    <row r="59" spans="1:8" s="38" customFormat="1" ht="13.5" thickBot="1" x14ac:dyDescent="0.25">
      <c r="A59" s="311"/>
      <c r="B59" s="312" t="s">
        <v>73</v>
      </c>
      <c r="C59" s="313"/>
      <c r="D59" s="314"/>
      <c r="E59" s="313"/>
      <c r="F59" s="310"/>
    </row>
    <row r="60" spans="1:8" ht="13.5" thickBot="1" x14ac:dyDescent="0.25">
      <c r="A60" s="171"/>
      <c r="B60" s="172" t="s">
        <v>156</v>
      </c>
      <c r="C60" s="173">
        <f>SUM(C50:C59)</f>
        <v>14</v>
      </c>
      <c r="D60" s="173">
        <f>SUM(D50:D59)</f>
        <v>123000</v>
      </c>
      <c r="E60" s="173">
        <f>SUM(E50:E59)</f>
        <v>0</v>
      </c>
      <c r="F60" s="174">
        <f>SUM(F50:F59)</f>
        <v>0</v>
      </c>
      <c r="H60" s="5"/>
    </row>
    <row r="61" spans="1:8" x14ac:dyDescent="0.2">
      <c r="A61" s="242" t="s">
        <v>7</v>
      </c>
      <c r="B61" s="243" t="s">
        <v>74</v>
      </c>
      <c r="C61" s="268"/>
      <c r="D61" s="178"/>
      <c r="E61" s="268"/>
      <c r="F61" s="269"/>
      <c r="H61" s="5"/>
    </row>
    <row r="62" spans="1:8" s="38" customFormat="1" ht="15" x14ac:dyDescent="0.25">
      <c r="A62" s="25"/>
      <c r="B62" s="135" t="s">
        <v>75</v>
      </c>
      <c r="C62" s="47"/>
      <c r="D62" s="119"/>
      <c r="E62" s="54"/>
      <c r="F62" s="180"/>
    </row>
    <row r="63" spans="1:8" s="38" customFormat="1" x14ac:dyDescent="0.2">
      <c r="A63" s="25"/>
      <c r="B63" s="135" t="s">
        <v>76</v>
      </c>
      <c r="C63" s="54"/>
      <c r="D63" s="119"/>
      <c r="E63" s="54"/>
      <c r="F63" s="180"/>
    </row>
    <row r="64" spans="1:8" s="38" customFormat="1" x14ac:dyDescent="0.2">
      <c r="A64" s="25"/>
      <c r="B64" s="135" t="s">
        <v>77</v>
      </c>
      <c r="C64" s="54">
        <v>1</v>
      </c>
      <c r="D64" s="119">
        <f>C64*3000</f>
        <v>3000</v>
      </c>
      <c r="E64" s="54"/>
      <c r="F64" s="180"/>
    </row>
    <row r="65" spans="1:8" s="38" customFormat="1" x14ac:dyDescent="0.2">
      <c r="A65" s="25"/>
      <c r="B65" s="135" t="s">
        <v>78</v>
      </c>
      <c r="C65" s="54">
        <v>1</v>
      </c>
      <c r="D65" s="119">
        <f>C65*2500</f>
        <v>2500</v>
      </c>
      <c r="E65" s="54"/>
      <c r="F65" s="180"/>
    </row>
    <row r="66" spans="1:8" s="38" customFormat="1" x14ac:dyDescent="0.2">
      <c r="A66" s="25"/>
      <c r="B66" s="135" t="s">
        <v>79</v>
      </c>
      <c r="C66" s="54">
        <v>4</v>
      </c>
      <c r="D66" s="119">
        <f>C66*8000</f>
        <v>32000</v>
      </c>
      <c r="E66" s="54"/>
      <c r="F66" s="180"/>
    </row>
    <row r="67" spans="1:8" s="38" customFormat="1" x14ac:dyDescent="0.2">
      <c r="A67" s="25"/>
      <c r="B67" s="135" t="s">
        <v>80</v>
      </c>
      <c r="C67" s="54">
        <v>1</v>
      </c>
      <c r="D67" s="119">
        <f>C67*25000</f>
        <v>25000</v>
      </c>
      <c r="E67" s="54"/>
      <c r="F67" s="180"/>
    </row>
    <row r="68" spans="1:8" s="38" customFormat="1" x14ac:dyDescent="0.2">
      <c r="A68" s="25"/>
      <c r="B68" s="135" t="s">
        <v>81</v>
      </c>
      <c r="C68" s="54"/>
      <c r="D68" s="119"/>
      <c r="E68" s="54"/>
      <c r="F68" s="180"/>
    </row>
    <row r="69" spans="1:8" s="38" customFormat="1" x14ac:dyDescent="0.2">
      <c r="A69" s="25"/>
      <c r="B69" s="135" t="s">
        <v>82</v>
      </c>
      <c r="C69" s="54"/>
      <c r="D69" s="119"/>
      <c r="E69" s="54"/>
      <c r="F69" s="180"/>
    </row>
    <row r="70" spans="1:8" s="38" customFormat="1" x14ac:dyDescent="0.2">
      <c r="A70" s="25"/>
      <c r="B70" s="135" t="s">
        <v>83</v>
      </c>
      <c r="C70" s="54">
        <v>1</v>
      </c>
      <c r="D70" s="119">
        <f>C70*15000</f>
        <v>15000</v>
      </c>
      <c r="E70" s="54"/>
      <c r="F70" s="180"/>
    </row>
    <row r="71" spans="1:8" s="38" customFormat="1" x14ac:dyDescent="0.2">
      <c r="A71" s="25"/>
      <c r="B71" s="135" t="s">
        <v>84</v>
      </c>
      <c r="C71" s="54"/>
      <c r="D71" s="119"/>
      <c r="E71" s="54"/>
      <c r="F71" s="180"/>
    </row>
    <row r="72" spans="1:8" s="38" customFormat="1" ht="13.5" thickBot="1" x14ac:dyDescent="0.25">
      <c r="A72" s="187"/>
      <c r="B72" s="201" t="s">
        <v>85</v>
      </c>
      <c r="C72" s="202">
        <v>1</v>
      </c>
      <c r="D72" s="189">
        <f>C72*2000</f>
        <v>2000</v>
      </c>
      <c r="E72" s="202"/>
      <c r="F72" s="191"/>
    </row>
    <row r="73" spans="1:8" ht="13.5" thickBot="1" x14ac:dyDescent="0.25">
      <c r="A73" s="171"/>
      <c r="B73" s="172" t="s">
        <v>157</v>
      </c>
      <c r="C73" s="173">
        <f>SUM(C62:C72)</f>
        <v>9</v>
      </c>
      <c r="D73" s="173">
        <f>SUM(D62:D72)</f>
        <v>79500</v>
      </c>
      <c r="E73" s="173">
        <f>SUM(E62:E72)</f>
        <v>0</v>
      </c>
      <c r="F73" s="174">
        <f>SUM(F62:F72)</f>
        <v>0</v>
      </c>
      <c r="H73" s="5"/>
    </row>
    <row r="74" spans="1:8" x14ac:dyDescent="0.2">
      <c r="A74" s="175" t="s">
        <v>8</v>
      </c>
      <c r="B74" s="194" t="s">
        <v>86</v>
      </c>
      <c r="C74" s="177"/>
      <c r="D74" s="178"/>
      <c r="E74" s="177"/>
      <c r="F74" s="179"/>
      <c r="H74" s="5"/>
    </row>
    <row r="75" spans="1:8" s="38" customFormat="1" ht="15" x14ac:dyDescent="0.25">
      <c r="A75" s="25"/>
      <c r="B75" s="193" t="s">
        <v>87</v>
      </c>
      <c r="C75" s="47"/>
      <c r="D75" s="119"/>
      <c r="E75" s="54"/>
      <c r="F75" s="180"/>
    </row>
    <row r="76" spans="1:8" s="38" customFormat="1" ht="33" customHeight="1" thickBot="1" x14ac:dyDescent="0.25">
      <c r="A76" s="187"/>
      <c r="B76" s="204" t="s">
        <v>88</v>
      </c>
      <c r="C76" s="202"/>
      <c r="D76" s="189"/>
      <c r="E76" s="202"/>
      <c r="F76" s="191"/>
    </row>
    <row r="77" spans="1:8" ht="13.5" thickBot="1" x14ac:dyDescent="0.25">
      <c r="A77" s="171"/>
      <c r="B77" s="172" t="s">
        <v>158</v>
      </c>
      <c r="C77" s="173">
        <f>SUM(C75:C76)</f>
        <v>0</v>
      </c>
      <c r="D77" s="173">
        <f>SUM(D75:D76)</f>
        <v>0</v>
      </c>
      <c r="E77" s="173">
        <f>SUM(E75:E76)</f>
        <v>0</v>
      </c>
      <c r="F77" s="174">
        <f>SUM(F75:F76)</f>
        <v>0</v>
      </c>
      <c r="H77" s="5"/>
    </row>
    <row r="78" spans="1:8" x14ac:dyDescent="0.2">
      <c r="A78" s="175" t="s">
        <v>9</v>
      </c>
      <c r="B78" s="176" t="s">
        <v>90</v>
      </c>
      <c r="C78" s="177"/>
      <c r="D78" s="178"/>
      <c r="E78" s="177"/>
      <c r="F78" s="179"/>
      <c r="H78" s="5"/>
    </row>
    <row r="79" spans="1:8" s="38" customFormat="1" ht="15" x14ac:dyDescent="0.25">
      <c r="A79" s="25"/>
      <c r="B79" s="205" t="s">
        <v>91</v>
      </c>
      <c r="C79" s="47">
        <v>2</v>
      </c>
      <c r="D79" s="119">
        <f>C79*550000</f>
        <v>1100000</v>
      </c>
      <c r="E79" s="54"/>
      <c r="F79" s="180"/>
    </row>
    <row r="80" spans="1:8" s="38" customFormat="1" ht="15" x14ac:dyDescent="0.25">
      <c r="A80" s="25"/>
      <c r="B80" s="205" t="s">
        <v>92</v>
      </c>
      <c r="C80" s="47">
        <v>2</v>
      </c>
      <c r="D80" s="119">
        <f>C80*450000</f>
        <v>900000</v>
      </c>
      <c r="E80" s="54"/>
      <c r="F80" s="180"/>
    </row>
    <row r="81" spans="1:8" s="38" customFormat="1" ht="15" x14ac:dyDescent="0.25">
      <c r="A81" s="25"/>
      <c r="B81" s="205" t="s">
        <v>93</v>
      </c>
      <c r="C81" s="47">
        <v>1</v>
      </c>
      <c r="D81" s="119">
        <f>C81*15000</f>
        <v>15000</v>
      </c>
      <c r="E81" s="54"/>
      <c r="F81" s="180"/>
    </row>
    <row r="82" spans="1:8" s="38" customFormat="1" x14ac:dyDescent="0.2">
      <c r="A82" s="25"/>
      <c r="B82" s="205" t="s">
        <v>94</v>
      </c>
      <c r="C82" s="54">
        <v>1</v>
      </c>
      <c r="D82" s="119">
        <f>C82*130000</f>
        <v>130000</v>
      </c>
      <c r="E82" s="54"/>
      <c r="F82" s="180"/>
    </row>
    <row r="83" spans="1:8" s="38" customFormat="1" ht="15" x14ac:dyDescent="0.25">
      <c r="A83" s="25"/>
      <c r="B83" s="48" t="s">
        <v>95</v>
      </c>
      <c r="C83" s="47">
        <v>0</v>
      </c>
      <c r="D83" s="119">
        <f>C83*5000</f>
        <v>0</v>
      </c>
      <c r="E83" s="54"/>
      <c r="F83" s="180"/>
    </row>
    <row r="84" spans="1:8" s="141" customFormat="1" ht="15" customHeight="1" x14ac:dyDescent="0.25">
      <c r="A84" s="25"/>
      <c r="B84" s="205" t="s">
        <v>96</v>
      </c>
      <c r="C84" s="47">
        <v>0</v>
      </c>
      <c r="D84" s="119">
        <f>C84*5000</f>
        <v>0</v>
      </c>
      <c r="E84" s="54"/>
      <c r="F84" s="180"/>
    </row>
    <row r="85" spans="1:8" s="141" customFormat="1" ht="15" customHeight="1" x14ac:dyDescent="0.25">
      <c r="A85" s="25"/>
      <c r="B85" s="205" t="s">
        <v>97</v>
      </c>
      <c r="C85" s="47">
        <v>0</v>
      </c>
      <c r="D85" s="119">
        <f>C85*7000</f>
        <v>0</v>
      </c>
      <c r="E85" s="54"/>
      <c r="F85" s="180"/>
    </row>
    <row r="86" spans="1:8" s="141" customFormat="1" ht="15" customHeight="1" x14ac:dyDescent="0.25">
      <c r="A86" s="25"/>
      <c r="B86" s="205" t="s">
        <v>98</v>
      </c>
      <c r="C86" s="47">
        <v>6</v>
      </c>
      <c r="D86" s="119">
        <f>C86*8000</f>
        <v>48000</v>
      </c>
      <c r="E86" s="54"/>
      <c r="F86" s="180"/>
    </row>
    <row r="87" spans="1:8" s="38" customFormat="1" ht="15" x14ac:dyDescent="0.25">
      <c r="A87" s="25"/>
      <c r="B87" s="205" t="s">
        <v>99</v>
      </c>
      <c r="C87" s="47">
        <v>2</v>
      </c>
      <c r="D87" s="119">
        <f>C87*8000</f>
        <v>16000</v>
      </c>
      <c r="E87" s="54"/>
      <c r="F87" s="180"/>
    </row>
    <row r="88" spans="1:8" s="141" customFormat="1" ht="15" customHeight="1" x14ac:dyDescent="0.2">
      <c r="A88" s="25"/>
      <c r="B88" s="205" t="s">
        <v>100</v>
      </c>
      <c r="C88" s="54">
        <v>1</v>
      </c>
      <c r="D88" s="119">
        <f>C88*25000</f>
        <v>25000</v>
      </c>
      <c r="E88" s="54"/>
      <c r="F88" s="180"/>
    </row>
    <row r="89" spans="1:8" s="141" customFormat="1" ht="15" customHeight="1" x14ac:dyDescent="0.2">
      <c r="A89" s="25"/>
      <c r="B89" s="205" t="s">
        <v>101</v>
      </c>
      <c r="C89" s="54">
        <v>4</v>
      </c>
      <c r="D89" s="119">
        <f>C89*1500</f>
        <v>6000</v>
      </c>
      <c r="E89" s="54"/>
      <c r="F89" s="180"/>
    </row>
    <row r="90" spans="1:8" s="38" customFormat="1" ht="15" x14ac:dyDescent="0.25">
      <c r="A90" s="25"/>
      <c r="B90" s="205" t="s">
        <v>102</v>
      </c>
      <c r="C90" s="47">
        <v>10</v>
      </c>
      <c r="D90" s="119">
        <f>C90*35000</f>
        <v>350000</v>
      </c>
      <c r="E90" s="54"/>
      <c r="F90" s="180"/>
    </row>
    <row r="91" spans="1:8" s="141" customFormat="1" ht="15" customHeight="1" thickBot="1" x14ac:dyDescent="0.3">
      <c r="A91" s="181"/>
      <c r="B91" s="182" t="s">
        <v>103</v>
      </c>
      <c r="C91" s="183"/>
      <c r="D91" s="184"/>
      <c r="E91" s="200"/>
      <c r="F91" s="186"/>
    </row>
    <row r="92" spans="1:8" ht="13.5" thickBot="1" x14ac:dyDescent="0.25">
      <c r="A92" s="99"/>
      <c r="B92" s="258" t="s">
        <v>159</v>
      </c>
      <c r="C92" s="234">
        <f>SUM(C79:C91)</f>
        <v>29</v>
      </c>
      <c r="D92" s="234">
        <f>SUM(D79:D91)</f>
        <v>2590000</v>
      </c>
      <c r="E92" s="234">
        <f>SUM(E79:E91)</f>
        <v>0</v>
      </c>
      <c r="F92" s="234">
        <f>SUM(F79:F91)</f>
        <v>0</v>
      </c>
      <c r="H92" s="5"/>
    </row>
    <row r="93" spans="1:8" x14ac:dyDescent="0.2">
      <c r="A93" s="210" t="s">
        <v>10</v>
      </c>
      <c r="B93" s="211" t="s">
        <v>104</v>
      </c>
      <c r="C93" s="177"/>
      <c r="D93" s="178"/>
      <c r="E93" s="177"/>
      <c r="F93" s="179"/>
      <c r="H93" s="5"/>
    </row>
    <row r="94" spans="1:8" s="141" customFormat="1" ht="15" x14ac:dyDescent="0.25">
      <c r="A94" s="143"/>
      <c r="B94" s="205" t="s">
        <v>105</v>
      </c>
      <c r="C94" s="47"/>
      <c r="D94" s="119"/>
      <c r="E94" s="54"/>
      <c r="F94" s="180"/>
    </row>
    <row r="95" spans="1:8" s="38" customFormat="1" ht="15" x14ac:dyDescent="0.25">
      <c r="A95" s="25"/>
      <c r="B95" s="48" t="s">
        <v>106</v>
      </c>
      <c r="C95" s="47"/>
      <c r="D95" s="119"/>
      <c r="E95" s="54"/>
      <c r="F95" s="180"/>
    </row>
    <row r="96" spans="1:8" s="38" customFormat="1" ht="15" x14ac:dyDescent="0.25">
      <c r="A96" s="25"/>
      <c r="B96" s="48" t="s">
        <v>107</v>
      </c>
      <c r="C96" s="47"/>
      <c r="D96" s="119"/>
      <c r="E96" s="54"/>
      <c r="F96" s="180"/>
    </row>
    <row r="97" spans="1:6" s="38" customFormat="1" ht="15" x14ac:dyDescent="0.25">
      <c r="A97" s="25"/>
      <c r="B97" s="208" t="s">
        <v>109</v>
      </c>
      <c r="C97" s="47"/>
      <c r="D97" s="119"/>
      <c r="E97" s="54"/>
      <c r="F97" s="180"/>
    </row>
    <row r="98" spans="1:6" s="38" customFormat="1" ht="15" x14ac:dyDescent="0.25">
      <c r="A98" s="25"/>
      <c r="B98" s="208" t="s">
        <v>111</v>
      </c>
      <c r="C98" s="47"/>
      <c r="D98" s="119"/>
      <c r="E98" s="54"/>
      <c r="F98" s="180"/>
    </row>
    <row r="99" spans="1:6" s="38" customFormat="1" x14ac:dyDescent="0.2">
      <c r="A99" s="25"/>
      <c r="B99" s="208" t="s">
        <v>113</v>
      </c>
      <c r="C99" s="54"/>
      <c r="D99" s="119"/>
      <c r="E99" s="54"/>
      <c r="F99" s="180"/>
    </row>
    <row r="100" spans="1:6" s="38" customFormat="1" x14ac:dyDescent="0.2">
      <c r="A100" s="25"/>
      <c r="B100" s="208" t="s">
        <v>115</v>
      </c>
      <c r="C100" s="54"/>
      <c r="D100" s="119"/>
      <c r="E100" s="54"/>
      <c r="F100" s="180"/>
    </row>
    <row r="101" spans="1:6" s="38" customFormat="1" x14ac:dyDescent="0.2">
      <c r="A101" s="25"/>
      <c r="B101" s="208" t="s">
        <v>279</v>
      </c>
      <c r="C101" s="54"/>
      <c r="D101" s="119"/>
      <c r="E101" s="54"/>
      <c r="F101" s="180"/>
    </row>
    <row r="102" spans="1:6" s="38" customFormat="1" ht="15" x14ac:dyDescent="0.25">
      <c r="A102" s="25"/>
      <c r="B102" s="205" t="s">
        <v>116</v>
      </c>
      <c r="C102" s="47"/>
      <c r="D102" s="119"/>
      <c r="E102" s="54"/>
      <c r="F102" s="180"/>
    </row>
    <row r="103" spans="1:6" s="141" customFormat="1" ht="15" x14ac:dyDescent="0.25">
      <c r="A103" s="25"/>
      <c r="B103" s="208" t="s">
        <v>117</v>
      </c>
      <c r="C103" s="47"/>
      <c r="D103" s="119"/>
      <c r="E103" s="54"/>
      <c r="F103" s="180"/>
    </row>
    <row r="104" spans="1:6" s="38" customFormat="1" x14ac:dyDescent="0.2">
      <c r="A104" s="25"/>
      <c r="B104" s="48" t="s">
        <v>118</v>
      </c>
      <c r="C104" s="54"/>
      <c r="D104" s="119"/>
      <c r="E104" s="54"/>
      <c r="F104" s="180"/>
    </row>
    <row r="105" spans="1:6" s="141" customFormat="1" x14ac:dyDescent="0.2">
      <c r="A105" s="143"/>
      <c r="B105" s="205" t="s">
        <v>119</v>
      </c>
      <c r="C105" s="54"/>
      <c r="D105" s="119"/>
      <c r="E105" s="54"/>
      <c r="F105" s="180"/>
    </row>
    <row r="106" spans="1:6" s="141" customFormat="1" ht="15" x14ac:dyDescent="0.25">
      <c r="A106" s="143"/>
      <c r="B106" s="48" t="s">
        <v>120</v>
      </c>
      <c r="C106" s="47"/>
      <c r="D106" s="119"/>
      <c r="E106" s="54"/>
      <c r="F106" s="180"/>
    </row>
    <row r="107" spans="1:6" s="38" customFormat="1" x14ac:dyDescent="0.2">
      <c r="A107" s="25"/>
      <c r="B107" s="320" t="s">
        <v>122</v>
      </c>
      <c r="C107" s="54"/>
      <c r="D107" s="119"/>
      <c r="E107" s="54"/>
      <c r="F107" s="180"/>
    </row>
    <row r="108" spans="1:6" s="38" customFormat="1" ht="25.5" x14ac:dyDescent="0.2">
      <c r="A108" s="25"/>
      <c r="B108" s="209" t="s">
        <v>124</v>
      </c>
      <c r="C108" s="54"/>
      <c r="D108" s="119"/>
      <c r="E108" s="54"/>
      <c r="F108" s="180"/>
    </row>
    <row r="109" spans="1:6" s="38" customFormat="1" x14ac:dyDescent="0.2">
      <c r="A109" s="25"/>
      <c r="B109" s="320" t="s">
        <v>126</v>
      </c>
      <c r="C109" s="54"/>
      <c r="D109" s="119"/>
      <c r="E109" s="54"/>
      <c r="F109" s="180"/>
    </row>
    <row r="110" spans="1:6" s="38" customFormat="1" x14ac:dyDescent="0.2">
      <c r="A110" s="25"/>
      <c r="B110" s="320" t="s">
        <v>128</v>
      </c>
      <c r="C110" s="54"/>
      <c r="D110" s="119"/>
      <c r="E110" s="54"/>
      <c r="F110" s="180"/>
    </row>
    <row r="111" spans="1:6" s="38" customFormat="1" x14ac:dyDescent="0.2">
      <c r="A111" s="25"/>
      <c r="B111" s="320" t="s">
        <v>130</v>
      </c>
      <c r="C111" s="54"/>
      <c r="D111" s="119"/>
      <c r="E111" s="54"/>
      <c r="F111" s="180"/>
    </row>
    <row r="112" spans="1:6" s="38" customFormat="1" x14ac:dyDescent="0.2">
      <c r="A112" s="25"/>
      <c r="B112" s="320" t="s">
        <v>280</v>
      </c>
      <c r="C112" s="54"/>
      <c r="D112" s="119"/>
      <c r="E112" s="54"/>
      <c r="F112" s="180"/>
    </row>
    <row r="113" spans="1:6" s="38" customFormat="1" x14ac:dyDescent="0.2">
      <c r="A113" s="25"/>
      <c r="B113" s="320" t="s">
        <v>133</v>
      </c>
      <c r="C113" s="54"/>
      <c r="D113" s="119"/>
      <c r="E113" s="54"/>
      <c r="F113" s="180"/>
    </row>
    <row r="114" spans="1:6" s="141" customFormat="1" ht="13.5" customHeight="1" x14ac:dyDescent="0.2">
      <c r="A114" s="25"/>
      <c r="B114" s="208" t="s">
        <v>134</v>
      </c>
      <c r="C114" s="54"/>
      <c r="D114" s="119"/>
      <c r="E114" s="54"/>
      <c r="F114" s="180"/>
    </row>
    <row r="115" spans="1:6" s="141" customFormat="1" ht="13.5" customHeight="1" x14ac:dyDescent="0.2">
      <c r="A115" s="25"/>
      <c r="B115" s="208" t="s">
        <v>135</v>
      </c>
      <c r="C115" s="54"/>
      <c r="D115" s="119"/>
      <c r="E115" s="54"/>
      <c r="F115" s="180"/>
    </row>
    <row r="116" spans="1:6" s="141" customFormat="1" ht="25.5" x14ac:dyDescent="0.2">
      <c r="A116" s="25"/>
      <c r="B116" s="208" t="s">
        <v>136</v>
      </c>
      <c r="C116" s="54"/>
      <c r="D116" s="119"/>
      <c r="E116" s="54"/>
      <c r="F116" s="180"/>
    </row>
    <row r="117" spans="1:6" s="38" customFormat="1" x14ac:dyDescent="0.2">
      <c r="A117" s="25"/>
      <c r="B117" s="205" t="s">
        <v>137</v>
      </c>
      <c r="C117" s="54"/>
      <c r="D117" s="119"/>
      <c r="E117" s="54"/>
      <c r="F117" s="180"/>
    </row>
    <row r="118" spans="1:6" s="38" customFormat="1" x14ac:dyDescent="0.2">
      <c r="A118" s="25"/>
      <c r="B118" s="205" t="s">
        <v>138</v>
      </c>
      <c r="C118" s="54"/>
      <c r="D118" s="119"/>
      <c r="E118" s="54"/>
      <c r="F118" s="180"/>
    </row>
    <row r="119" spans="1:6" s="38" customFormat="1" x14ac:dyDescent="0.2">
      <c r="A119" s="25"/>
      <c r="B119" s="48" t="s">
        <v>139</v>
      </c>
      <c r="C119" s="54"/>
      <c r="D119" s="119"/>
      <c r="E119" s="54"/>
      <c r="F119" s="180"/>
    </row>
    <row r="120" spans="1:6" s="38" customFormat="1" x14ac:dyDescent="0.2">
      <c r="A120" s="25"/>
      <c r="B120" s="48" t="s">
        <v>140</v>
      </c>
      <c r="C120" s="54"/>
      <c r="D120" s="119"/>
      <c r="E120" s="54"/>
      <c r="F120" s="180"/>
    </row>
    <row r="121" spans="1:6" s="38" customFormat="1" x14ac:dyDescent="0.2">
      <c r="A121" s="25"/>
      <c r="B121" s="48" t="s">
        <v>141</v>
      </c>
      <c r="C121" s="54"/>
      <c r="D121" s="119"/>
      <c r="E121" s="54"/>
      <c r="F121" s="180"/>
    </row>
    <row r="122" spans="1:6" s="38" customFormat="1" x14ac:dyDescent="0.2">
      <c r="A122" s="25"/>
      <c r="B122" s="48" t="s">
        <v>142</v>
      </c>
      <c r="C122" s="54"/>
      <c r="D122" s="119"/>
      <c r="E122" s="54"/>
      <c r="F122" s="180"/>
    </row>
    <row r="123" spans="1:6" s="38" customFormat="1" x14ac:dyDescent="0.2">
      <c r="A123" s="25"/>
      <c r="B123" s="205" t="s">
        <v>143</v>
      </c>
      <c r="C123" s="54"/>
      <c r="D123" s="119"/>
      <c r="E123" s="54"/>
      <c r="F123" s="180"/>
    </row>
    <row r="124" spans="1:6" s="38" customFormat="1" x14ac:dyDescent="0.2">
      <c r="A124" s="25"/>
      <c r="B124" s="48" t="s">
        <v>144</v>
      </c>
      <c r="C124" s="54"/>
      <c r="D124" s="119"/>
      <c r="E124" s="54"/>
      <c r="F124" s="180"/>
    </row>
    <row r="125" spans="1:6" s="38" customFormat="1" ht="38.25" x14ac:dyDescent="0.2">
      <c r="A125" s="25"/>
      <c r="B125" s="205" t="s">
        <v>145</v>
      </c>
      <c r="C125" s="54"/>
      <c r="D125" s="119"/>
      <c r="E125" s="54"/>
      <c r="F125" s="180"/>
    </row>
    <row r="126" spans="1:6" s="38" customFormat="1" x14ac:dyDescent="0.2">
      <c r="A126" s="25"/>
      <c r="B126" s="205" t="s">
        <v>146</v>
      </c>
      <c r="C126" s="54"/>
      <c r="D126" s="119"/>
      <c r="E126" s="54"/>
      <c r="F126" s="180"/>
    </row>
    <row r="127" spans="1:6" s="38" customFormat="1" x14ac:dyDescent="0.2">
      <c r="A127" s="25"/>
      <c r="B127" s="205" t="s">
        <v>147</v>
      </c>
      <c r="C127" s="54"/>
      <c r="D127" s="119"/>
      <c r="E127" s="54"/>
      <c r="F127" s="180"/>
    </row>
    <row r="128" spans="1:6" s="38" customFormat="1" x14ac:dyDescent="0.2">
      <c r="A128" s="25"/>
      <c r="B128" s="205" t="s">
        <v>148</v>
      </c>
      <c r="C128" s="54"/>
      <c r="D128" s="119"/>
      <c r="E128" s="54"/>
      <c r="F128" s="180"/>
    </row>
    <row r="129" spans="1:8" s="53" customFormat="1" ht="22.5" customHeight="1" x14ac:dyDescent="0.2">
      <c r="A129" s="25"/>
      <c r="B129" s="205" t="s">
        <v>149</v>
      </c>
      <c r="C129" s="54"/>
      <c r="D129" s="119"/>
      <c r="E129" s="54"/>
      <c r="F129" s="180"/>
    </row>
    <row r="130" spans="1:8" s="38" customFormat="1" x14ac:dyDescent="0.2">
      <c r="A130" s="25"/>
      <c r="B130" s="205" t="s">
        <v>150</v>
      </c>
      <c r="C130" s="54"/>
      <c r="D130" s="119"/>
      <c r="E130" s="54"/>
      <c r="F130" s="180"/>
    </row>
    <row r="131" spans="1:8" s="38" customFormat="1" x14ac:dyDescent="0.2">
      <c r="A131" s="25"/>
      <c r="B131" s="205" t="s">
        <v>151</v>
      </c>
      <c r="C131" s="54"/>
      <c r="D131" s="119"/>
      <c r="E131" s="54"/>
      <c r="F131" s="180"/>
    </row>
    <row r="132" spans="1:8" s="38" customFormat="1" ht="13.5" thickBot="1" x14ac:dyDescent="0.25">
      <c r="A132" s="187"/>
      <c r="B132" s="188" t="s">
        <v>152</v>
      </c>
      <c r="C132" s="202">
        <v>4</v>
      </c>
      <c r="D132" s="189">
        <f>C132*40000</f>
        <v>160000</v>
      </c>
      <c r="E132" s="202"/>
      <c r="F132" s="191"/>
    </row>
    <row r="133" spans="1:8" ht="13.5" thickBot="1" x14ac:dyDescent="0.25">
      <c r="A133" s="171"/>
      <c r="B133" s="172" t="s">
        <v>160</v>
      </c>
      <c r="C133" s="173">
        <f>SUM(C94:C132)</f>
        <v>4</v>
      </c>
      <c r="D133" s="173">
        <f>SUM(D94:D132)</f>
        <v>160000</v>
      </c>
      <c r="E133" s="173">
        <f>SUM(E94:E132)</f>
        <v>0</v>
      </c>
      <c r="F133" s="173">
        <f>SUM(F94:F132)</f>
        <v>0</v>
      </c>
      <c r="H133" s="5"/>
    </row>
    <row r="134" spans="1:8" s="38" customFormat="1" x14ac:dyDescent="0.2">
      <c r="A134" s="210" t="s">
        <v>11</v>
      </c>
      <c r="B134" s="211" t="s">
        <v>153</v>
      </c>
      <c r="C134" s="213"/>
      <c r="D134" s="178"/>
      <c r="E134" s="213"/>
      <c r="F134" s="214"/>
    </row>
    <row r="135" spans="1:8" s="38" customFormat="1" ht="15" x14ac:dyDescent="0.25">
      <c r="A135" s="25"/>
      <c r="B135" s="205" t="s">
        <v>163</v>
      </c>
      <c r="C135" s="47">
        <v>1</v>
      </c>
      <c r="D135" s="119">
        <v>558120</v>
      </c>
      <c r="E135" s="54"/>
      <c r="F135" s="180"/>
    </row>
    <row r="136" spans="1:8" s="38" customFormat="1" x14ac:dyDescent="0.2">
      <c r="A136" s="25"/>
      <c r="B136" s="205" t="s">
        <v>164</v>
      </c>
      <c r="C136" s="54">
        <v>1</v>
      </c>
      <c r="D136" s="119">
        <v>459720</v>
      </c>
      <c r="E136" s="54"/>
      <c r="F136" s="180"/>
    </row>
    <row r="137" spans="1:8" s="38" customFormat="1" x14ac:dyDescent="0.2">
      <c r="A137" s="25"/>
      <c r="B137" s="205" t="s">
        <v>165</v>
      </c>
      <c r="C137" s="54"/>
      <c r="D137" s="119"/>
      <c r="E137" s="54"/>
      <c r="F137" s="180"/>
    </row>
    <row r="138" spans="1:8" s="38" customFormat="1" ht="15" x14ac:dyDescent="0.25">
      <c r="A138" s="25"/>
      <c r="B138" s="205" t="s">
        <v>166</v>
      </c>
      <c r="C138" s="47"/>
      <c r="D138" s="119"/>
      <c r="E138" s="54"/>
      <c r="F138" s="180"/>
    </row>
    <row r="139" spans="1:8" s="38" customFormat="1" x14ac:dyDescent="0.2">
      <c r="A139" s="25"/>
      <c r="B139" s="205" t="s">
        <v>167</v>
      </c>
      <c r="C139" s="54">
        <v>1</v>
      </c>
      <c r="D139" s="119">
        <v>98000</v>
      </c>
      <c r="E139" s="54"/>
      <c r="F139" s="180"/>
    </row>
    <row r="140" spans="1:8" s="38" customFormat="1" x14ac:dyDescent="0.2">
      <c r="A140" s="25"/>
      <c r="B140" s="40" t="s">
        <v>168</v>
      </c>
      <c r="C140" s="54"/>
      <c r="D140" s="119"/>
      <c r="E140" s="54"/>
      <c r="F140" s="180"/>
    </row>
    <row r="141" spans="1:8" s="38" customFormat="1" ht="15" x14ac:dyDescent="0.25">
      <c r="A141" s="25"/>
      <c r="B141" s="40" t="s">
        <v>169</v>
      </c>
      <c r="C141" s="47">
        <v>1</v>
      </c>
      <c r="D141" s="119">
        <v>300000</v>
      </c>
      <c r="E141" s="54"/>
      <c r="F141" s="180"/>
    </row>
    <row r="142" spans="1:8" s="38" customFormat="1" ht="15" x14ac:dyDescent="0.25">
      <c r="A142" s="25"/>
      <c r="B142" s="40" t="s">
        <v>170</v>
      </c>
      <c r="C142" s="47"/>
      <c r="D142" s="119"/>
      <c r="E142" s="54"/>
      <c r="F142" s="180"/>
    </row>
    <row r="143" spans="1:8" s="38" customFormat="1" ht="15" x14ac:dyDescent="0.25">
      <c r="A143" s="25"/>
      <c r="B143" s="40" t="s">
        <v>277</v>
      </c>
      <c r="C143" s="47"/>
      <c r="D143" s="119"/>
      <c r="E143" s="54"/>
      <c r="F143" s="180"/>
    </row>
    <row r="144" spans="1:8" s="38" customFormat="1" ht="15" x14ac:dyDescent="0.25">
      <c r="A144" s="25"/>
      <c r="B144" s="40" t="s">
        <v>278</v>
      </c>
      <c r="C144" s="47"/>
      <c r="D144" s="119"/>
      <c r="E144" s="54"/>
      <c r="F144" s="180"/>
    </row>
    <row r="145" spans="1:6" s="38" customFormat="1" ht="27.75" customHeight="1" x14ac:dyDescent="0.2">
      <c r="A145" s="25"/>
      <c r="B145" s="40" t="s">
        <v>171</v>
      </c>
      <c r="C145" s="54"/>
      <c r="D145" s="119"/>
      <c r="E145" s="54"/>
      <c r="F145" s="180"/>
    </row>
    <row r="146" spans="1:6" s="38" customFormat="1" x14ac:dyDescent="0.2">
      <c r="A146" s="25"/>
      <c r="B146" s="24" t="s">
        <v>172</v>
      </c>
      <c r="C146" s="54"/>
      <c r="D146" s="119"/>
      <c r="E146" s="54"/>
      <c r="F146" s="180"/>
    </row>
    <row r="147" spans="1:6" s="38" customFormat="1" x14ac:dyDescent="0.2">
      <c r="A147" s="25"/>
      <c r="B147" s="40" t="s">
        <v>173</v>
      </c>
      <c r="C147" s="54"/>
      <c r="D147" s="119"/>
      <c r="E147" s="54"/>
      <c r="F147" s="180"/>
    </row>
    <row r="148" spans="1:6" s="38" customFormat="1" x14ac:dyDescent="0.2">
      <c r="A148" s="25"/>
      <c r="B148" s="40" t="s">
        <v>174</v>
      </c>
      <c r="C148" s="54"/>
      <c r="D148" s="119"/>
      <c r="E148" s="54"/>
      <c r="F148" s="180"/>
    </row>
    <row r="149" spans="1:6" s="38" customFormat="1" ht="15" x14ac:dyDescent="0.25">
      <c r="A149" s="25"/>
      <c r="B149" s="40" t="s">
        <v>175</v>
      </c>
      <c r="C149" s="47"/>
      <c r="D149" s="119"/>
      <c r="E149" s="54"/>
      <c r="F149" s="180"/>
    </row>
    <row r="150" spans="1:6" s="38" customFormat="1" ht="27.75" customHeight="1" x14ac:dyDescent="0.2">
      <c r="A150" s="25"/>
      <c r="B150" s="40" t="s">
        <v>176</v>
      </c>
      <c r="C150" s="54"/>
      <c r="D150" s="119"/>
      <c r="E150" s="54"/>
      <c r="F150" s="180"/>
    </row>
    <row r="151" spans="1:6" s="38" customFormat="1" x14ac:dyDescent="0.2">
      <c r="A151" s="25"/>
      <c r="B151" s="321" t="s">
        <v>177</v>
      </c>
      <c r="C151" s="54"/>
      <c r="D151" s="119"/>
      <c r="E151" s="54"/>
      <c r="F151" s="180"/>
    </row>
    <row r="152" spans="1:6" s="38" customFormat="1" x14ac:dyDescent="0.2">
      <c r="A152" s="25"/>
      <c r="B152" s="144" t="s">
        <v>178</v>
      </c>
      <c r="C152" s="54"/>
      <c r="D152" s="119"/>
      <c r="E152" s="54"/>
      <c r="F152" s="180"/>
    </row>
    <row r="153" spans="1:6" s="38" customFormat="1" x14ac:dyDescent="0.2">
      <c r="A153" s="25"/>
      <c r="B153" s="319" t="s">
        <v>179</v>
      </c>
      <c r="C153" s="54"/>
      <c r="D153" s="119"/>
      <c r="E153" s="54"/>
      <c r="F153" s="180"/>
    </row>
    <row r="154" spans="1:6" s="38" customFormat="1" x14ac:dyDescent="0.2">
      <c r="A154" s="25"/>
      <c r="B154" s="24" t="s">
        <v>180</v>
      </c>
      <c r="C154" s="54"/>
      <c r="D154" s="119"/>
      <c r="E154" s="54"/>
      <c r="F154" s="180"/>
    </row>
    <row r="155" spans="1:6" s="38" customFormat="1" x14ac:dyDescent="0.2">
      <c r="A155" s="25"/>
      <c r="B155" s="24" t="s">
        <v>181</v>
      </c>
      <c r="C155" s="54"/>
      <c r="D155" s="119"/>
      <c r="E155" s="54"/>
      <c r="F155" s="180"/>
    </row>
    <row r="156" spans="1:6" s="38" customFormat="1" x14ac:dyDescent="0.2">
      <c r="A156" s="25"/>
      <c r="B156" s="24" t="s">
        <v>182</v>
      </c>
      <c r="C156" s="54"/>
      <c r="D156" s="119"/>
      <c r="E156" s="54"/>
      <c r="F156" s="180"/>
    </row>
    <row r="157" spans="1:6" s="38" customFormat="1" x14ac:dyDescent="0.2">
      <c r="A157" s="25"/>
      <c r="B157" s="24" t="s">
        <v>183</v>
      </c>
      <c r="C157" s="54"/>
      <c r="D157" s="119"/>
      <c r="E157" s="54"/>
      <c r="F157" s="180"/>
    </row>
    <row r="158" spans="1:6" s="38" customFormat="1" x14ac:dyDescent="0.2">
      <c r="A158" s="25"/>
      <c r="B158" s="24" t="s">
        <v>184</v>
      </c>
      <c r="C158" s="54"/>
      <c r="D158" s="119"/>
      <c r="E158" s="54"/>
      <c r="F158" s="180"/>
    </row>
    <row r="159" spans="1:6" s="38" customFormat="1" ht="25.5" x14ac:dyDescent="0.2">
      <c r="A159" s="25"/>
      <c r="B159" s="24" t="s">
        <v>185</v>
      </c>
      <c r="C159" s="54"/>
      <c r="D159" s="119"/>
      <c r="E159" s="54"/>
      <c r="F159" s="180"/>
    </row>
    <row r="160" spans="1:6" s="38" customFormat="1" x14ac:dyDescent="0.2">
      <c r="A160" s="25"/>
      <c r="B160" s="319" t="s">
        <v>186</v>
      </c>
      <c r="C160" s="54"/>
      <c r="D160" s="119"/>
      <c r="E160" s="54"/>
      <c r="F160" s="180"/>
    </row>
    <row r="161" spans="1:8" s="38" customFormat="1" x14ac:dyDescent="0.2">
      <c r="A161" s="25"/>
      <c r="B161" s="24" t="s">
        <v>187</v>
      </c>
      <c r="C161" s="54"/>
      <c r="D161" s="119"/>
      <c r="E161" s="54"/>
      <c r="F161" s="180"/>
    </row>
    <row r="162" spans="1:8" s="38" customFormat="1" x14ac:dyDescent="0.2">
      <c r="A162" s="25"/>
      <c r="B162" s="24" t="s">
        <v>188</v>
      </c>
      <c r="C162" s="54"/>
      <c r="D162" s="119"/>
      <c r="E162" s="54"/>
      <c r="F162" s="180"/>
    </row>
    <row r="163" spans="1:8" s="38" customFormat="1" x14ac:dyDescent="0.2">
      <c r="A163" s="25"/>
      <c r="B163" s="24" t="s">
        <v>189</v>
      </c>
      <c r="C163" s="54"/>
      <c r="D163" s="119"/>
      <c r="E163" s="54"/>
      <c r="F163" s="180"/>
    </row>
    <row r="164" spans="1:8" s="38" customFormat="1" x14ac:dyDescent="0.2">
      <c r="A164" s="25"/>
      <c r="B164" s="40" t="s">
        <v>190</v>
      </c>
      <c r="C164" s="54"/>
      <c r="D164" s="119"/>
      <c r="E164" s="54"/>
      <c r="F164" s="180"/>
    </row>
    <row r="165" spans="1:8" s="38" customFormat="1" ht="13.5" thickBot="1" x14ac:dyDescent="0.25">
      <c r="A165" s="25"/>
      <c r="B165" s="24" t="s">
        <v>191</v>
      </c>
      <c r="C165" s="54"/>
      <c r="D165" s="119"/>
      <c r="E165" s="54"/>
      <c r="F165" s="180"/>
    </row>
    <row r="166" spans="1:8" ht="13.5" thickBot="1" x14ac:dyDescent="0.25">
      <c r="A166" s="108"/>
      <c r="B166" s="169" t="s">
        <v>161</v>
      </c>
      <c r="C166" s="170">
        <f>SUM(C135:C165)</f>
        <v>4</v>
      </c>
      <c r="D166" s="170">
        <f>SUM(D135:D165)</f>
        <v>1415840</v>
      </c>
      <c r="E166" s="170">
        <f>SUM(E135:E165)</f>
        <v>0</v>
      </c>
      <c r="F166" s="170">
        <f>SUM(F135:F165)</f>
        <v>0</v>
      </c>
      <c r="H166" s="5"/>
    </row>
    <row r="167" spans="1:8" s="38" customFormat="1" ht="13.5" thickBot="1" x14ac:dyDescent="0.25">
      <c r="A167" s="59"/>
      <c r="B167" s="264"/>
      <c r="C167" s="61"/>
      <c r="D167" s="217"/>
      <c r="E167" s="61"/>
      <c r="F167" s="110"/>
    </row>
    <row r="168" spans="1:8" ht="16.5" thickBot="1" x14ac:dyDescent="0.3">
      <c r="A168" s="218"/>
      <c r="B168" s="219" t="s">
        <v>162</v>
      </c>
      <c r="C168" s="220">
        <f>C12+C48+C60+C73+C77+C92+C133+C166</f>
        <v>299</v>
      </c>
      <c r="D168" s="220">
        <f>D12+D48+D60+D73+D77+D92+D133+D166</f>
        <v>5439340</v>
      </c>
      <c r="E168" s="220">
        <f>E12+E48+E60+E73+E77+E92+E133+E166</f>
        <v>0</v>
      </c>
      <c r="F168" s="221">
        <f>F12+F48+F60+F73+F77+F92+F133+F166</f>
        <v>0</v>
      </c>
      <c r="H168" s="5"/>
    </row>
    <row r="169" spans="1:8" x14ac:dyDescent="0.2">
      <c r="H169" s="5"/>
    </row>
    <row r="170" spans="1:8" x14ac:dyDescent="0.2">
      <c r="H170" s="5"/>
    </row>
    <row r="171" spans="1:8" x14ac:dyDescent="0.2">
      <c r="H171" s="5"/>
    </row>
    <row r="172" spans="1:8" x14ac:dyDescent="0.2">
      <c r="H172" s="5"/>
    </row>
    <row r="173" spans="1:8" x14ac:dyDescent="0.2">
      <c r="H173" s="5"/>
    </row>
    <row r="174" spans="1:8" x14ac:dyDescent="0.2">
      <c r="H174" s="5"/>
    </row>
    <row r="175" spans="1:8" x14ac:dyDescent="0.2">
      <c r="H175" s="5"/>
    </row>
    <row r="176" spans="1:8" x14ac:dyDescent="0.2">
      <c r="H176" s="5"/>
    </row>
    <row r="177" spans="1:8" x14ac:dyDescent="0.2">
      <c r="H177" s="5"/>
    </row>
    <row r="178" spans="1:8" x14ac:dyDescent="0.2">
      <c r="H178" s="5"/>
    </row>
    <row r="179" spans="1:8" x14ac:dyDescent="0.2">
      <c r="H179" s="5"/>
    </row>
    <row r="180" spans="1:8" x14ac:dyDescent="0.2">
      <c r="H180" s="5"/>
    </row>
    <row r="181" spans="1:8" x14ac:dyDescent="0.2">
      <c r="H181" s="5"/>
    </row>
    <row r="182" spans="1:8" x14ac:dyDescent="0.2">
      <c r="A182" s="5"/>
      <c r="B182" s="5"/>
      <c r="C182" s="5"/>
      <c r="D182" s="5"/>
      <c r="H182" s="5"/>
    </row>
    <row r="183" spans="1:8" x14ac:dyDescent="0.2">
      <c r="A183" s="5"/>
      <c r="B183" s="5"/>
      <c r="C183" s="5"/>
      <c r="D183" s="5"/>
      <c r="H183" s="5"/>
    </row>
    <row r="184" spans="1:8" x14ac:dyDescent="0.2">
      <c r="H184" s="5"/>
    </row>
  </sheetData>
  <mergeCells count="4">
    <mergeCell ref="C4:D4"/>
    <mergeCell ref="E4:F4"/>
    <mergeCell ref="C3:D3"/>
    <mergeCell ref="E3:F3"/>
  </mergeCells>
  <phoneticPr fontId="8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O183"/>
  <sheetViews>
    <sheetView zoomScale="110" zoomScaleNormal="110" workbookViewId="0">
      <pane xSplit="2" ySplit="5" topLeftCell="C144" activePane="bottomRight" state="frozen"/>
      <selection activeCell="B112" sqref="B112"/>
      <selection pane="topRight" activeCell="B112" sqref="B112"/>
      <selection pane="bottomLeft" activeCell="B112" sqref="B112"/>
      <selection pane="bottomRight" activeCell="B112" sqref="B112"/>
    </sheetView>
  </sheetViews>
  <sheetFormatPr defaultColWidth="9.140625" defaultRowHeight="12.75" x14ac:dyDescent="0.2"/>
  <cols>
    <col min="1" max="1" width="9.5703125" style="11" customWidth="1"/>
    <col min="2" max="2" width="55.5703125" style="9" customWidth="1"/>
    <col min="3" max="3" width="10.7109375" style="12" customWidth="1"/>
    <col min="4" max="4" width="14" style="13" customWidth="1"/>
    <col min="5" max="5" width="9.28515625" style="5" customWidth="1"/>
    <col min="6" max="6" width="10.85546875" style="5" customWidth="1"/>
    <col min="7" max="7" width="9.28515625" style="12" customWidth="1"/>
    <col min="8" max="8" width="14" style="13" customWidth="1"/>
    <col min="9" max="9" width="9.28515625" style="5" customWidth="1"/>
    <col min="10" max="10" width="12.7109375" style="5" customWidth="1"/>
    <col min="11" max="11" width="8.85546875" style="12" customWidth="1"/>
    <col min="12" max="12" width="11.7109375" style="13" customWidth="1"/>
    <col min="13" max="13" width="9.140625" style="5" customWidth="1"/>
    <col min="14" max="14" width="12.28515625" style="5" customWidth="1"/>
    <col min="15" max="16384" width="9.140625" style="5"/>
  </cols>
  <sheetData>
    <row r="1" spans="1:15" x14ac:dyDescent="0.2">
      <c r="A1" s="1"/>
      <c r="B1" s="14" t="s">
        <v>55</v>
      </c>
      <c r="C1" s="4"/>
      <c r="D1" s="3"/>
      <c r="G1" s="4"/>
      <c r="H1" s="3"/>
      <c r="K1" s="4"/>
      <c r="L1" s="3"/>
    </row>
    <row r="2" spans="1:15" ht="13.5" thickBot="1" x14ac:dyDescent="0.25">
      <c r="A2" s="1"/>
      <c r="B2" s="2"/>
      <c r="C2" s="4"/>
      <c r="D2" s="3"/>
      <c r="F2" s="17" t="s">
        <v>236</v>
      </c>
      <c r="G2" s="4"/>
      <c r="H2" s="3"/>
      <c r="J2" s="17" t="s">
        <v>236</v>
      </c>
      <c r="K2" s="4"/>
      <c r="L2" s="3"/>
      <c r="N2" s="17" t="s">
        <v>236</v>
      </c>
    </row>
    <row r="3" spans="1:15" s="6" customFormat="1" ht="16.5" thickBot="1" x14ac:dyDescent="0.3">
      <c r="A3" s="70"/>
      <c r="B3" s="71"/>
      <c r="C3" s="413" t="s">
        <v>56</v>
      </c>
      <c r="D3" s="415"/>
      <c r="E3" s="421" t="s">
        <v>56</v>
      </c>
      <c r="F3" s="420"/>
      <c r="G3" s="413" t="s">
        <v>246</v>
      </c>
      <c r="H3" s="414"/>
      <c r="I3" s="414"/>
      <c r="J3" s="415"/>
      <c r="K3" s="413" t="s">
        <v>247</v>
      </c>
      <c r="L3" s="414"/>
      <c r="M3" s="414"/>
      <c r="N3" s="415"/>
      <c r="O3" s="6" t="s">
        <v>60</v>
      </c>
    </row>
    <row r="4" spans="1:15" s="6" customFormat="1" ht="33" customHeight="1" thickBot="1" x14ac:dyDescent="0.3">
      <c r="A4" s="70"/>
      <c r="B4" s="71"/>
      <c r="C4" s="405" t="s">
        <v>235</v>
      </c>
      <c r="D4" s="406"/>
      <c r="E4" s="411" t="s">
        <v>59</v>
      </c>
      <c r="F4" s="412"/>
      <c r="G4" s="405" t="s">
        <v>235</v>
      </c>
      <c r="H4" s="406"/>
      <c r="I4" s="411" t="s">
        <v>59</v>
      </c>
      <c r="J4" s="412"/>
      <c r="K4" s="405" t="s">
        <v>235</v>
      </c>
      <c r="L4" s="406"/>
      <c r="M4" s="411" t="s">
        <v>59</v>
      </c>
      <c r="N4" s="412"/>
    </row>
    <row r="5" spans="1:15" s="7" customFormat="1" ht="39" thickBot="1" x14ac:dyDescent="0.25">
      <c r="A5" s="160" t="s">
        <v>62</v>
      </c>
      <c r="B5" s="161" t="s">
        <v>63</v>
      </c>
      <c r="C5" s="229" t="s">
        <v>57</v>
      </c>
      <c r="D5" s="229" t="s">
        <v>58</v>
      </c>
      <c r="E5" s="229" t="s">
        <v>57</v>
      </c>
      <c r="F5" s="229" t="s">
        <v>58</v>
      </c>
      <c r="G5" s="229" t="s">
        <v>0</v>
      </c>
      <c r="H5" s="229" t="s">
        <v>1</v>
      </c>
      <c r="I5" s="229" t="s">
        <v>0</v>
      </c>
      <c r="J5" s="229" t="s">
        <v>12</v>
      </c>
      <c r="K5" s="229" t="s">
        <v>0</v>
      </c>
      <c r="L5" s="229" t="s">
        <v>1</v>
      </c>
      <c r="M5" s="229" t="s">
        <v>0</v>
      </c>
      <c r="N5" s="229" t="s">
        <v>12</v>
      </c>
    </row>
    <row r="6" spans="1:15" s="52" customFormat="1" x14ac:dyDescent="0.2">
      <c r="A6" s="175" t="s">
        <v>2</v>
      </c>
      <c r="B6" s="176" t="s">
        <v>3</v>
      </c>
      <c r="C6" s="177"/>
      <c r="D6" s="178"/>
      <c r="E6" s="177"/>
      <c r="F6" s="177"/>
      <c r="G6" s="177"/>
      <c r="H6" s="178"/>
      <c r="I6" s="177"/>
      <c r="J6" s="177"/>
      <c r="K6" s="177"/>
      <c r="L6" s="178"/>
      <c r="M6" s="177"/>
      <c r="N6" s="179"/>
    </row>
    <row r="7" spans="1:15" x14ac:dyDescent="0.2">
      <c r="A7" s="86"/>
      <c r="B7" s="89" t="s">
        <v>18</v>
      </c>
      <c r="C7" s="64">
        <f>G7+K7+O7</f>
        <v>0</v>
      </c>
      <c r="D7" s="64">
        <f t="shared" ref="D7:F9" si="0">H7+L7+P7</f>
        <v>0</v>
      </c>
      <c r="E7" s="64">
        <f t="shared" si="0"/>
        <v>0</v>
      </c>
      <c r="F7" s="64">
        <f t="shared" si="0"/>
        <v>0</v>
      </c>
      <c r="G7" s="90"/>
      <c r="H7" s="91"/>
      <c r="I7" s="90"/>
      <c r="J7" s="90"/>
      <c r="K7" s="90"/>
      <c r="L7" s="91"/>
      <c r="M7" s="90"/>
      <c r="N7" s="224"/>
    </row>
    <row r="8" spans="1:15" x14ac:dyDescent="0.2">
      <c r="A8" s="86"/>
      <c r="B8" s="89" t="s">
        <v>4</v>
      </c>
      <c r="C8" s="64">
        <f t="shared" ref="C8:C9" si="1">G8+K8+O8</f>
        <v>0</v>
      </c>
      <c r="D8" s="64">
        <f t="shared" si="0"/>
        <v>0</v>
      </c>
      <c r="E8" s="64">
        <f t="shared" si="0"/>
        <v>0</v>
      </c>
      <c r="F8" s="64">
        <f t="shared" si="0"/>
        <v>0</v>
      </c>
      <c r="G8" s="90"/>
      <c r="H8" s="91"/>
      <c r="I8" s="90"/>
      <c r="J8" s="90"/>
      <c r="K8" s="90"/>
      <c r="L8" s="91"/>
      <c r="M8" s="90"/>
      <c r="N8" s="224"/>
    </row>
    <row r="9" spans="1:15" x14ac:dyDescent="0.2">
      <c r="A9" s="86"/>
      <c r="B9" s="89" t="s">
        <v>17</v>
      </c>
      <c r="C9" s="64">
        <f t="shared" si="1"/>
        <v>0</v>
      </c>
      <c r="D9" s="64">
        <f t="shared" si="0"/>
        <v>0</v>
      </c>
      <c r="E9" s="64">
        <f t="shared" si="0"/>
        <v>0</v>
      </c>
      <c r="F9" s="64">
        <f t="shared" si="0"/>
        <v>0</v>
      </c>
      <c r="G9" s="90"/>
      <c r="H9" s="91"/>
      <c r="I9" s="90"/>
      <c r="J9" s="90"/>
      <c r="K9" s="90"/>
      <c r="L9" s="91"/>
      <c r="M9" s="90"/>
      <c r="N9" s="224"/>
    </row>
    <row r="10" spans="1:15" s="9" customFormat="1" x14ac:dyDescent="0.2">
      <c r="A10" s="86"/>
      <c r="B10" s="89" t="s">
        <v>15</v>
      </c>
      <c r="C10" s="64">
        <f t="shared" ref="C10:C11" si="2">G10+K10+O10</f>
        <v>1</v>
      </c>
      <c r="D10" s="64">
        <f t="shared" ref="D10:D11" si="3">H10+L10+P10</f>
        <v>260000</v>
      </c>
      <c r="E10" s="64">
        <v>0</v>
      </c>
      <c r="F10" s="64">
        <v>0</v>
      </c>
      <c r="G10" s="92">
        <v>1</v>
      </c>
      <c r="H10" s="91">
        <v>260000</v>
      </c>
      <c r="I10" s="92"/>
      <c r="J10" s="92"/>
      <c r="K10" s="92"/>
      <c r="L10" s="91"/>
      <c r="M10" s="92"/>
      <c r="N10" s="270"/>
    </row>
    <row r="11" spans="1:15" s="9" customFormat="1" ht="13.5" thickBot="1" x14ac:dyDescent="0.25">
      <c r="A11" s="247"/>
      <c r="B11" s="164" t="s">
        <v>16</v>
      </c>
      <c r="C11" s="241">
        <f t="shared" si="2"/>
        <v>0</v>
      </c>
      <c r="D11" s="241">
        <f t="shared" si="3"/>
        <v>0</v>
      </c>
      <c r="E11" s="241">
        <v>0</v>
      </c>
      <c r="F11" s="241">
        <v>0</v>
      </c>
      <c r="G11" s="271"/>
      <c r="H11" s="165"/>
      <c r="I11" s="271"/>
      <c r="J11" s="271"/>
      <c r="K11" s="271"/>
      <c r="L11" s="165"/>
      <c r="M11" s="271"/>
      <c r="N11" s="272"/>
    </row>
    <row r="12" spans="1:15" s="9" customFormat="1" ht="13.5" thickBot="1" x14ac:dyDescent="0.25">
      <c r="A12" s="171"/>
      <c r="B12" s="273" t="s">
        <v>155</v>
      </c>
      <c r="C12" s="274">
        <f t="shared" ref="C12:N12" si="4">SUM(C7:C11)</f>
        <v>1</v>
      </c>
      <c r="D12" s="274">
        <f t="shared" si="4"/>
        <v>260000</v>
      </c>
      <c r="E12" s="274">
        <f t="shared" si="4"/>
        <v>0</v>
      </c>
      <c r="F12" s="274">
        <f t="shared" si="4"/>
        <v>0</v>
      </c>
      <c r="G12" s="274">
        <f t="shared" si="4"/>
        <v>1</v>
      </c>
      <c r="H12" s="274">
        <f t="shared" si="4"/>
        <v>260000</v>
      </c>
      <c r="I12" s="274">
        <f t="shared" si="4"/>
        <v>0</v>
      </c>
      <c r="J12" s="274">
        <f t="shared" si="4"/>
        <v>0</v>
      </c>
      <c r="K12" s="274">
        <f t="shared" si="4"/>
        <v>0</v>
      </c>
      <c r="L12" s="274">
        <f t="shared" si="4"/>
        <v>0</v>
      </c>
      <c r="M12" s="274">
        <f t="shared" si="4"/>
        <v>0</v>
      </c>
      <c r="N12" s="275">
        <f t="shared" si="4"/>
        <v>0</v>
      </c>
    </row>
    <row r="13" spans="1:15" s="52" customFormat="1" x14ac:dyDescent="0.2">
      <c r="A13" s="175" t="s">
        <v>5</v>
      </c>
      <c r="B13" s="176" t="s">
        <v>89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7"/>
    </row>
    <row r="14" spans="1:15" s="52" customFormat="1" ht="15" x14ac:dyDescent="0.25">
      <c r="A14" s="25"/>
      <c r="B14" s="209" t="s">
        <v>19</v>
      </c>
      <c r="C14" s="64">
        <f>G14+K14+O14</f>
        <v>15</v>
      </c>
      <c r="D14" s="64">
        <f t="shared" ref="C14:F47" si="5">H14+L14+P14</f>
        <v>45000</v>
      </c>
      <c r="E14" s="64">
        <f t="shared" si="5"/>
        <v>0</v>
      </c>
      <c r="F14" s="64">
        <f t="shared" si="5"/>
        <v>0</v>
      </c>
      <c r="G14" s="54"/>
      <c r="H14" s="119"/>
      <c r="I14" s="54"/>
      <c r="J14" s="54"/>
      <c r="K14" s="47">
        <v>15</v>
      </c>
      <c r="L14" s="119">
        <f>3000*K14</f>
        <v>45000</v>
      </c>
      <c r="M14" s="54"/>
      <c r="N14" s="180"/>
    </row>
    <row r="15" spans="1:15" s="52" customFormat="1" ht="15" x14ac:dyDescent="0.25">
      <c r="A15" s="25"/>
      <c r="B15" s="209" t="s">
        <v>20</v>
      </c>
      <c r="C15" s="64">
        <f t="shared" si="5"/>
        <v>0</v>
      </c>
      <c r="D15" s="64">
        <f t="shared" si="5"/>
        <v>0</v>
      </c>
      <c r="E15" s="64">
        <f t="shared" si="5"/>
        <v>0</v>
      </c>
      <c r="F15" s="64">
        <f t="shared" si="5"/>
        <v>0</v>
      </c>
      <c r="G15" s="54"/>
      <c r="H15" s="119"/>
      <c r="I15" s="54"/>
      <c r="J15" s="54"/>
      <c r="K15" s="47"/>
      <c r="L15" s="119"/>
      <c r="M15" s="54"/>
      <c r="N15" s="180"/>
    </row>
    <row r="16" spans="1:15" s="52" customFormat="1" x14ac:dyDescent="0.2">
      <c r="A16" s="25"/>
      <c r="B16" s="318" t="s">
        <v>21</v>
      </c>
      <c r="C16" s="64">
        <f t="shared" si="5"/>
        <v>0</v>
      </c>
      <c r="D16" s="64">
        <f t="shared" si="5"/>
        <v>0</v>
      </c>
      <c r="E16" s="64">
        <f t="shared" si="5"/>
        <v>0</v>
      </c>
      <c r="F16" s="64">
        <f t="shared" si="5"/>
        <v>0</v>
      </c>
      <c r="G16" s="54"/>
      <c r="H16" s="119"/>
      <c r="I16" s="54"/>
      <c r="J16" s="54"/>
      <c r="K16" s="54"/>
      <c r="L16" s="119"/>
      <c r="M16" s="54"/>
      <c r="N16" s="180"/>
    </row>
    <row r="17" spans="1:14" s="52" customFormat="1" x14ac:dyDescent="0.2">
      <c r="A17" s="25"/>
      <c r="B17" s="318" t="s">
        <v>23</v>
      </c>
      <c r="C17" s="64">
        <f>G17+K17+O17</f>
        <v>5</v>
      </c>
      <c r="D17" s="64">
        <f>H17+L17+P17</f>
        <v>22500</v>
      </c>
      <c r="E17" s="64">
        <f t="shared" si="5"/>
        <v>0</v>
      </c>
      <c r="F17" s="64">
        <f t="shared" si="5"/>
        <v>0</v>
      </c>
      <c r="G17" s="54">
        <v>5</v>
      </c>
      <c r="H17" s="119">
        <f>G17*4500</f>
        <v>22500</v>
      </c>
      <c r="I17" s="54"/>
      <c r="J17" s="54"/>
      <c r="K17" s="54"/>
      <c r="L17" s="119"/>
      <c r="M17" s="54"/>
      <c r="N17" s="180"/>
    </row>
    <row r="18" spans="1:14" s="38" customFormat="1" x14ac:dyDescent="0.2">
      <c r="A18" s="25"/>
      <c r="B18" s="318" t="s">
        <v>24</v>
      </c>
      <c r="C18" s="64">
        <f>G18+K18+O18</f>
        <v>0</v>
      </c>
      <c r="D18" s="64">
        <f>H18+L18+P18</f>
        <v>0</v>
      </c>
      <c r="E18" s="64">
        <f>I18+M18+Q18</f>
        <v>0</v>
      </c>
      <c r="F18" s="64">
        <f t="shared" si="5"/>
        <v>0</v>
      </c>
      <c r="G18" s="54"/>
      <c r="H18" s="119"/>
      <c r="I18" s="54"/>
      <c r="J18" s="54"/>
      <c r="K18" s="54"/>
      <c r="L18" s="119"/>
      <c r="M18" s="54"/>
      <c r="N18" s="180"/>
    </row>
    <row r="19" spans="1:14" s="38" customFormat="1" x14ac:dyDescent="0.2">
      <c r="A19" s="25"/>
      <c r="B19" s="48" t="s">
        <v>25</v>
      </c>
      <c r="C19" s="64">
        <f t="shared" si="5"/>
        <v>0</v>
      </c>
      <c r="D19" s="64">
        <f t="shared" si="5"/>
        <v>0</v>
      </c>
      <c r="E19" s="64">
        <f t="shared" si="5"/>
        <v>0</v>
      </c>
      <c r="F19" s="64">
        <f t="shared" si="5"/>
        <v>0</v>
      </c>
      <c r="G19" s="54"/>
      <c r="H19" s="119"/>
      <c r="I19" s="54"/>
      <c r="J19" s="54"/>
      <c r="K19" s="54"/>
      <c r="L19" s="119">
        <f>350*K19</f>
        <v>0</v>
      </c>
      <c r="M19" s="54"/>
      <c r="N19" s="180"/>
    </row>
    <row r="20" spans="1:14" s="38" customFormat="1" x14ac:dyDescent="0.2">
      <c r="A20" s="25"/>
      <c r="B20" s="209" t="s">
        <v>26</v>
      </c>
      <c r="C20" s="64">
        <f t="shared" si="5"/>
        <v>0</v>
      </c>
      <c r="D20" s="64">
        <f t="shared" si="5"/>
        <v>0</v>
      </c>
      <c r="E20" s="64">
        <f t="shared" si="5"/>
        <v>0</v>
      </c>
      <c r="F20" s="64">
        <f t="shared" si="5"/>
        <v>0</v>
      </c>
      <c r="G20" s="54"/>
      <c r="H20" s="119"/>
      <c r="I20" s="54"/>
      <c r="J20" s="54"/>
      <c r="K20" s="54"/>
      <c r="L20" s="119"/>
      <c r="M20" s="54"/>
      <c r="N20" s="180"/>
    </row>
    <row r="21" spans="1:14" s="38" customFormat="1" x14ac:dyDescent="0.2">
      <c r="A21" s="25"/>
      <c r="B21" s="209" t="s">
        <v>27</v>
      </c>
      <c r="C21" s="64">
        <f t="shared" si="5"/>
        <v>0</v>
      </c>
      <c r="D21" s="64">
        <f t="shared" si="5"/>
        <v>0</v>
      </c>
      <c r="E21" s="64">
        <f t="shared" si="5"/>
        <v>0</v>
      </c>
      <c r="F21" s="64">
        <f t="shared" si="5"/>
        <v>0</v>
      </c>
      <c r="G21" s="54"/>
      <c r="H21" s="119"/>
      <c r="I21" s="54"/>
      <c r="J21" s="54"/>
      <c r="K21" s="54"/>
      <c r="L21" s="119"/>
      <c r="M21" s="54"/>
      <c r="N21" s="180"/>
    </row>
    <row r="22" spans="1:14" s="38" customFormat="1" x14ac:dyDescent="0.2">
      <c r="A22" s="25"/>
      <c r="B22" s="48" t="s">
        <v>28</v>
      </c>
      <c r="C22" s="64">
        <f>G22+K22+O22</f>
        <v>2</v>
      </c>
      <c r="D22" s="64">
        <f>H22+L22+P22</f>
        <v>8000</v>
      </c>
      <c r="E22" s="64">
        <f t="shared" si="5"/>
        <v>0</v>
      </c>
      <c r="F22" s="64">
        <f t="shared" si="5"/>
        <v>0</v>
      </c>
      <c r="G22" s="54"/>
      <c r="H22" s="119"/>
      <c r="I22" s="54"/>
      <c r="J22" s="54"/>
      <c r="K22" s="54">
        <f>2</f>
        <v>2</v>
      </c>
      <c r="L22" s="119">
        <f>K22*4000</f>
        <v>8000</v>
      </c>
      <c r="M22" s="54"/>
      <c r="N22" s="180"/>
    </row>
    <row r="23" spans="1:14" s="38" customFormat="1" x14ac:dyDescent="0.2">
      <c r="A23" s="25"/>
      <c r="B23" s="48" t="s">
        <v>29</v>
      </c>
      <c r="C23" s="64">
        <f t="shared" si="5"/>
        <v>0</v>
      </c>
      <c r="D23" s="64">
        <f t="shared" si="5"/>
        <v>0</v>
      </c>
      <c r="E23" s="64">
        <f t="shared" si="5"/>
        <v>0</v>
      </c>
      <c r="F23" s="64">
        <f t="shared" si="5"/>
        <v>0</v>
      </c>
      <c r="G23" s="54"/>
      <c r="H23" s="119"/>
      <c r="I23" s="54"/>
      <c r="J23" s="54"/>
      <c r="K23" s="54"/>
      <c r="L23" s="119"/>
      <c r="M23" s="54"/>
      <c r="N23" s="180"/>
    </row>
    <row r="24" spans="1:14" s="38" customFormat="1" x14ac:dyDescent="0.2">
      <c r="A24" s="25"/>
      <c r="B24" s="48" t="s">
        <v>30</v>
      </c>
      <c r="C24" s="64">
        <f t="shared" si="5"/>
        <v>8</v>
      </c>
      <c r="D24" s="64">
        <f t="shared" si="5"/>
        <v>24000</v>
      </c>
      <c r="E24" s="64">
        <f t="shared" si="5"/>
        <v>0</v>
      </c>
      <c r="F24" s="64">
        <f t="shared" si="5"/>
        <v>0</v>
      </c>
      <c r="G24" s="54">
        <v>4</v>
      </c>
      <c r="H24" s="119">
        <f>G24*3000</f>
        <v>12000</v>
      </c>
      <c r="I24" s="54"/>
      <c r="J24" s="54"/>
      <c r="K24" s="54">
        <v>4</v>
      </c>
      <c r="L24" s="119">
        <f>K24*3000</f>
        <v>12000</v>
      </c>
      <c r="M24" s="54"/>
      <c r="N24" s="180"/>
    </row>
    <row r="25" spans="1:14" s="38" customFormat="1" x14ac:dyDescent="0.2">
      <c r="A25" s="25"/>
      <c r="B25" s="48" t="s">
        <v>31</v>
      </c>
      <c r="C25" s="64">
        <f t="shared" si="5"/>
        <v>0</v>
      </c>
      <c r="D25" s="64">
        <f t="shared" si="5"/>
        <v>0</v>
      </c>
      <c r="E25" s="64">
        <f t="shared" si="5"/>
        <v>0</v>
      </c>
      <c r="F25" s="64">
        <f t="shared" si="5"/>
        <v>0</v>
      </c>
      <c r="G25" s="54"/>
      <c r="H25" s="119"/>
      <c r="I25" s="54"/>
      <c r="J25" s="54"/>
      <c r="K25" s="54"/>
      <c r="L25" s="119"/>
      <c r="M25" s="54"/>
      <c r="N25" s="180"/>
    </row>
    <row r="26" spans="1:14" s="38" customFormat="1" ht="15" x14ac:dyDescent="0.25">
      <c r="A26" s="25"/>
      <c r="B26" s="209" t="s">
        <v>32</v>
      </c>
      <c r="C26" s="64">
        <f t="shared" si="5"/>
        <v>40</v>
      </c>
      <c r="D26" s="64">
        <f t="shared" si="5"/>
        <v>100000</v>
      </c>
      <c r="E26" s="64">
        <f t="shared" si="5"/>
        <v>0</v>
      </c>
      <c r="F26" s="64">
        <f t="shared" si="5"/>
        <v>0</v>
      </c>
      <c r="G26" s="54">
        <f>15</f>
        <v>15</v>
      </c>
      <c r="H26" s="119">
        <f>G26*2500</f>
        <v>37500</v>
      </c>
      <c r="I26" s="54"/>
      <c r="J26" s="54"/>
      <c r="K26" s="47">
        <v>25</v>
      </c>
      <c r="L26" s="119">
        <f>K26*2500</f>
        <v>62500</v>
      </c>
      <c r="M26" s="54"/>
      <c r="N26" s="180"/>
    </row>
    <row r="27" spans="1:14" s="38" customFormat="1" ht="15" x14ac:dyDescent="0.25">
      <c r="A27" s="25"/>
      <c r="B27" s="209" t="s">
        <v>33</v>
      </c>
      <c r="C27" s="64">
        <f t="shared" si="5"/>
        <v>7</v>
      </c>
      <c r="D27" s="64">
        <f t="shared" si="5"/>
        <v>17500</v>
      </c>
      <c r="E27" s="64">
        <f t="shared" si="5"/>
        <v>0</v>
      </c>
      <c r="F27" s="64">
        <f t="shared" si="5"/>
        <v>0</v>
      </c>
      <c r="G27" s="47">
        <f>1</f>
        <v>1</v>
      </c>
      <c r="H27" s="119">
        <f>G27*2500</f>
        <v>2500</v>
      </c>
      <c r="I27" s="54"/>
      <c r="J27" s="54"/>
      <c r="K27" s="47">
        <v>6</v>
      </c>
      <c r="L27" s="119">
        <f>K27*2500</f>
        <v>15000</v>
      </c>
      <c r="M27" s="54"/>
      <c r="N27" s="180"/>
    </row>
    <row r="28" spans="1:14" s="38" customFormat="1" ht="15" x14ac:dyDescent="0.25">
      <c r="A28" s="25"/>
      <c r="B28" s="209" t="s">
        <v>35</v>
      </c>
      <c r="C28" s="64">
        <f t="shared" si="5"/>
        <v>15</v>
      </c>
      <c r="D28" s="64">
        <f t="shared" si="5"/>
        <v>30000</v>
      </c>
      <c r="E28" s="64">
        <f t="shared" si="5"/>
        <v>0</v>
      </c>
      <c r="F28" s="64">
        <f t="shared" si="5"/>
        <v>0</v>
      </c>
      <c r="G28" s="47">
        <v>15</v>
      </c>
      <c r="H28" s="119">
        <f>G28*2000</f>
        <v>30000</v>
      </c>
      <c r="I28" s="54"/>
      <c r="J28" s="54"/>
      <c r="K28" s="54"/>
      <c r="L28" s="119"/>
      <c r="M28" s="54"/>
      <c r="N28" s="180"/>
    </row>
    <row r="29" spans="1:14" s="38" customFormat="1" ht="15" x14ac:dyDescent="0.25">
      <c r="A29" s="25"/>
      <c r="B29" s="209" t="s">
        <v>36</v>
      </c>
      <c r="C29" s="64">
        <f t="shared" si="5"/>
        <v>0</v>
      </c>
      <c r="D29" s="64">
        <f t="shared" si="5"/>
        <v>0</v>
      </c>
      <c r="E29" s="64">
        <f t="shared" si="5"/>
        <v>0</v>
      </c>
      <c r="F29" s="64">
        <f t="shared" si="5"/>
        <v>0</v>
      </c>
      <c r="G29" s="47"/>
      <c r="H29" s="119">
        <f>G29*2500</f>
        <v>0</v>
      </c>
      <c r="I29" s="54"/>
      <c r="J29" s="54"/>
      <c r="K29" s="54"/>
      <c r="L29" s="119"/>
      <c r="M29" s="54"/>
      <c r="N29" s="180"/>
    </row>
    <row r="30" spans="1:14" s="38" customFormat="1" ht="15" x14ac:dyDescent="0.25">
      <c r="A30" s="25"/>
      <c r="B30" s="209" t="s">
        <v>37</v>
      </c>
      <c r="C30" s="64">
        <f t="shared" si="5"/>
        <v>20</v>
      </c>
      <c r="D30" s="64">
        <f t="shared" si="5"/>
        <v>60000</v>
      </c>
      <c r="E30" s="64">
        <f t="shared" si="5"/>
        <v>0</v>
      </c>
      <c r="F30" s="64">
        <f t="shared" si="5"/>
        <v>0</v>
      </c>
      <c r="G30" s="47">
        <f>10</f>
        <v>10</v>
      </c>
      <c r="H30" s="119">
        <f>G30*3000</f>
        <v>30000</v>
      </c>
      <c r="I30" s="54"/>
      <c r="J30" s="54"/>
      <c r="K30" s="54">
        <v>10</v>
      </c>
      <c r="L30" s="119">
        <f>K30*3000</f>
        <v>30000</v>
      </c>
      <c r="M30" s="54"/>
      <c r="N30" s="180"/>
    </row>
    <row r="31" spans="1:14" s="38" customFormat="1" ht="15" x14ac:dyDescent="0.25">
      <c r="A31" s="25"/>
      <c r="B31" s="48" t="s">
        <v>38</v>
      </c>
      <c r="C31" s="64">
        <f t="shared" si="5"/>
        <v>10</v>
      </c>
      <c r="D31" s="64">
        <f t="shared" si="5"/>
        <v>25000</v>
      </c>
      <c r="E31" s="64">
        <f t="shared" si="5"/>
        <v>0</v>
      </c>
      <c r="F31" s="64">
        <f t="shared" si="5"/>
        <v>0</v>
      </c>
      <c r="G31" s="47">
        <f>10</f>
        <v>10</v>
      </c>
      <c r="H31" s="119">
        <f>G31*2500</f>
        <v>25000</v>
      </c>
      <c r="I31" s="54"/>
      <c r="J31" s="54"/>
      <c r="K31" s="47"/>
      <c r="L31" s="119">
        <f>K31*2500</f>
        <v>0</v>
      </c>
      <c r="M31" s="54"/>
      <c r="N31" s="180"/>
    </row>
    <row r="32" spans="1:14" s="38" customFormat="1" x14ac:dyDescent="0.2">
      <c r="A32" s="25"/>
      <c r="B32" s="209" t="s">
        <v>39</v>
      </c>
      <c r="C32" s="64">
        <f t="shared" si="5"/>
        <v>0</v>
      </c>
      <c r="D32" s="64">
        <f t="shared" si="5"/>
        <v>0</v>
      </c>
      <c r="E32" s="64">
        <f t="shared" si="5"/>
        <v>0</v>
      </c>
      <c r="F32" s="64">
        <f t="shared" si="5"/>
        <v>0</v>
      </c>
      <c r="G32" s="54"/>
      <c r="H32" s="119">
        <f>G32*2000</f>
        <v>0</v>
      </c>
      <c r="I32" s="54"/>
      <c r="J32" s="54"/>
      <c r="K32" s="54"/>
      <c r="L32" s="119">
        <f>K32*2000</f>
        <v>0</v>
      </c>
      <c r="M32" s="54"/>
      <c r="N32" s="180"/>
    </row>
    <row r="33" spans="1:14" s="38" customFormat="1" x14ac:dyDescent="0.2">
      <c r="A33" s="25"/>
      <c r="B33" s="209" t="s">
        <v>40</v>
      </c>
      <c r="C33" s="64">
        <f t="shared" si="5"/>
        <v>0</v>
      </c>
      <c r="D33" s="64">
        <f t="shared" si="5"/>
        <v>0</v>
      </c>
      <c r="E33" s="64">
        <f t="shared" si="5"/>
        <v>0</v>
      </c>
      <c r="F33" s="64">
        <f t="shared" si="5"/>
        <v>0</v>
      </c>
      <c r="G33" s="54"/>
      <c r="H33" s="119">
        <f>G33*3000</f>
        <v>0</v>
      </c>
      <c r="I33" s="54"/>
      <c r="J33" s="54"/>
      <c r="K33" s="54"/>
      <c r="L33" s="119">
        <f>K33*3000</f>
        <v>0</v>
      </c>
      <c r="M33" s="54"/>
      <c r="N33" s="180"/>
    </row>
    <row r="34" spans="1:14" s="38" customFormat="1" ht="15" x14ac:dyDescent="0.25">
      <c r="A34" s="25"/>
      <c r="B34" s="209" t="s">
        <v>41</v>
      </c>
      <c r="C34" s="64">
        <f t="shared" si="5"/>
        <v>0</v>
      </c>
      <c r="D34" s="64">
        <f t="shared" si="5"/>
        <v>0</v>
      </c>
      <c r="E34" s="64">
        <f t="shared" si="5"/>
        <v>0</v>
      </c>
      <c r="F34" s="64">
        <f t="shared" si="5"/>
        <v>0</v>
      </c>
      <c r="G34" s="47"/>
      <c r="H34" s="119">
        <f>G34*2500</f>
        <v>0</v>
      </c>
      <c r="I34" s="54"/>
      <c r="J34" s="54"/>
      <c r="K34" s="54"/>
      <c r="L34" s="119">
        <f>K34*2500</f>
        <v>0</v>
      </c>
      <c r="M34" s="54"/>
      <c r="N34" s="180"/>
    </row>
    <row r="35" spans="1:14" s="38" customFormat="1" x14ac:dyDescent="0.2">
      <c r="A35" s="25"/>
      <c r="B35" s="209" t="s">
        <v>42</v>
      </c>
      <c r="C35" s="64">
        <f t="shared" si="5"/>
        <v>1</v>
      </c>
      <c r="D35" s="64">
        <f t="shared" si="5"/>
        <v>2000</v>
      </c>
      <c r="E35" s="64">
        <f t="shared" si="5"/>
        <v>0</v>
      </c>
      <c r="F35" s="64">
        <f t="shared" si="5"/>
        <v>0</v>
      </c>
      <c r="G35" s="54">
        <f>1</f>
        <v>1</v>
      </c>
      <c r="H35" s="119">
        <f>G35*2000</f>
        <v>2000</v>
      </c>
      <c r="I35" s="54"/>
      <c r="J35" s="54"/>
      <c r="K35" s="54"/>
      <c r="L35" s="119">
        <f>K35*2000</f>
        <v>0</v>
      </c>
      <c r="M35" s="54"/>
      <c r="N35" s="180"/>
    </row>
    <row r="36" spans="1:14" s="38" customFormat="1" ht="15" x14ac:dyDescent="0.25">
      <c r="A36" s="25"/>
      <c r="B36" s="48" t="s">
        <v>43</v>
      </c>
      <c r="C36" s="64">
        <f t="shared" si="5"/>
        <v>0</v>
      </c>
      <c r="D36" s="64">
        <f t="shared" si="5"/>
        <v>0</v>
      </c>
      <c r="E36" s="64">
        <f t="shared" si="5"/>
        <v>0</v>
      </c>
      <c r="F36" s="64">
        <f t="shared" si="5"/>
        <v>0</v>
      </c>
      <c r="G36" s="54"/>
      <c r="H36" s="119">
        <f>G36*1200</f>
        <v>0</v>
      </c>
      <c r="I36" s="54"/>
      <c r="J36" s="54"/>
      <c r="K36" s="47"/>
      <c r="L36" s="119">
        <f>K36*1200</f>
        <v>0</v>
      </c>
      <c r="M36" s="54"/>
      <c r="N36" s="180"/>
    </row>
    <row r="37" spans="1:14" s="38" customFormat="1" x14ac:dyDescent="0.2">
      <c r="A37" s="25"/>
      <c r="B37" s="48" t="s">
        <v>44</v>
      </c>
      <c r="C37" s="64">
        <f t="shared" si="5"/>
        <v>3</v>
      </c>
      <c r="D37" s="64">
        <f t="shared" si="5"/>
        <v>6000</v>
      </c>
      <c r="E37" s="64">
        <f t="shared" si="5"/>
        <v>0</v>
      </c>
      <c r="F37" s="64">
        <f t="shared" si="5"/>
        <v>0</v>
      </c>
      <c r="G37" s="54">
        <f>3</f>
        <v>3</v>
      </c>
      <c r="H37" s="119">
        <f>G37*2000</f>
        <v>6000</v>
      </c>
      <c r="I37" s="54"/>
      <c r="J37" s="54"/>
      <c r="K37" s="54"/>
      <c r="L37" s="119">
        <f>K37*2000</f>
        <v>0</v>
      </c>
      <c r="M37" s="54"/>
      <c r="N37" s="180"/>
    </row>
    <row r="38" spans="1:14" s="38" customFormat="1" x14ac:dyDescent="0.2">
      <c r="A38" s="25"/>
      <c r="B38" s="48" t="s">
        <v>45</v>
      </c>
      <c r="C38" s="64">
        <f t="shared" si="5"/>
        <v>0</v>
      </c>
      <c r="D38" s="64">
        <f t="shared" si="5"/>
        <v>0</v>
      </c>
      <c r="E38" s="64">
        <f t="shared" si="5"/>
        <v>0</v>
      </c>
      <c r="F38" s="64">
        <f t="shared" si="5"/>
        <v>0</v>
      </c>
      <c r="G38" s="54"/>
      <c r="H38" s="119">
        <f>G38*7500</f>
        <v>0</v>
      </c>
      <c r="I38" s="54"/>
      <c r="J38" s="54"/>
      <c r="K38" s="54"/>
      <c r="L38" s="119">
        <f>K38*7500</f>
        <v>0</v>
      </c>
      <c r="M38" s="54"/>
      <c r="N38" s="180"/>
    </row>
    <row r="39" spans="1:14" s="38" customFormat="1" ht="15" x14ac:dyDescent="0.25">
      <c r="A39" s="25"/>
      <c r="B39" s="48" t="s">
        <v>46</v>
      </c>
      <c r="C39" s="64">
        <f t="shared" si="5"/>
        <v>3</v>
      </c>
      <c r="D39" s="64">
        <f t="shared" si="5"/>
        <v>27000</v>
      </c>
      <c r="E39" s="64">
        <f t="shared" si="5"/>
        <v>0</v>
      </c>
      <c r="F39" s="64">
        <f t="shared" si="5"/>
        <v>0</v>
      </c>
      <c r="G39" s="54">
        <v>2</v>
      </c>
      <c r="H39" s="119">
        <f>G39*9000</f>
        <v>18000</v>
      </c>
      <c r="I39" s="54"/>
      <c r="J39" s="54"/>
      <c r="K39" s="47">
        <f>1</f>
        <v>1</v>
      </c>
      <c r="L39" s="119">
        <f>K39*9000</f>
        <v>9000</v>
      </c>
      <c r="M39" s="54"/>
      <c r="N39" s="180"/>
    </row>
    <row r="40" spans="1:14" s="38" customFormat="1" x14ac:dyDescent="0.2">
      <c r="A40" s="25"/>
      <c r="B40" s="209" t="s">
        <v>47</v>
      </c>
      <c r="C40" s="64">
        <f t="shared" si="5"/>
        <v>10</v>
      </c>
      <c r="D40" s="64">
        <f t="shared" si="5"/>
        <v>15000</v>
      </c>
      <c r="E40" s="64">
        <f t="shared" si="5"/>
        <v>0</v>
      </c>
      <c r="F40" s="64">
        <f t="shared" si="5"/>
        <v>0</v>
      </c>
      <c r="G40" s="54">
        <f>10</f>
        <v>10</v>
      </c>
      <c r="H40" s="119">
        <f>1500*G40</f>
        <v>15000</v>
      </c>
      <c r="I40" s="54"/>
      <c r="J40" s="54"/>
      <c r="K40" s="54"/>
      <c r="L40" s="119"/>
      <c r="M40" s="54"/>
      <c r="N40" s="180"/>
    </row>
    <row r="41" spans="1:14" s="38" customFormat="1" x14ac:dyDescent="0.2">
      <c r="A41" s="25"/>
      <c r="B41" s="209" t="s">
        <v>48</v>
      </c>
      <c r="C41" s="64">
        <f t="shared" si="5"/>
        <v>40</v>
      </c>
      <c r="D41" s="64">
        <f t="shared" si="5"/>
        <v>32000</v>
      </c>
      <c r="E41" s="64">
        <f t="shared" si="5"/>
        <v>0</v>
      </c>
      <c r="F41" s="64">
        <f t="shared" si="5"/>
        <v>0</v>
      </c>
      <c r="G41" s="54">
        <f>40</f>
        <v>40</v>
      </c>
      <c r="H41" s="119">
        <f>800*G41</f>
        <v>32000</v>
      </c>
      <c r="I41" s="54"/>
      <c r="J41" s="54"/>
      <c r="K41" s="54"/>
      <c r="L41" s="119"/>
      <c r="M41" s="54"/>
      <c r="N41" s="180"/>
    </row>
    <row r="42" spans="1:14" s="38" customFormat="1" x14ac:dyDescent="0.2">
      <c r="A42" s="25"/>
      <c r="B42" s="48" t="s">
        <v>49</v>
      </c>
      <c r="C42" s="64">
        <f t="shared" si="5"/>
        <v>0</v>
      </c>
      <c r="D42" s="64">
        <f t="shared" si="5"/>
        <v>0</v>
      </c>
      <c r="E42" s="64">
        <f t="shared" si="5"/>
        <v>0</v>
      </c>
      <c r="F42" s="64">
        <f t="shared" si="5"/>
        <v>0</v>
      </c>
      <c r="G42" s="54"/>
      <c r="H42" s="119"/>
      <c r="I42" s="54"/>
      <c r="J42" s="54"/>
      <c r="K42" s="54"/>
      <c r="L42" s="119"/>
      <c r="M42" s="54"/>
      <c r="N42" s="180"/>
    </row>
    <row r="43" spans="1:14" s="38" customFormat="1" x14ac:dyDescent="0.2">
      <c r="A43" s="25"/>
      <c r="B43" s="48" t="s">
        <v>50</v>
      </c>
      <c r="C43" s="64">
        <f t="shared" si="5"/>
        <v>0</v>
      </c>
      <c r="D43" s="64">
        <f t="shared" si="5"/>
        <v>0</v>
      </c>
      <c r="E43" s="64">
        <f t="shared" si="5"/>
        <v>0</v>
      </c>
      <c r="F43" s="64">
        <f t="shared" si="5"/>
        <v>0</v>
      </c>
      <c r="G43" s="54"/>
      <c r="H43" s="119">
        <f>G43*3000</f>
        <v>0</v>
      </c>
      <c r="I43" s="54"/>
      <c r="J43" s="54"/>
      <c r="K43" s="54"/>
      <c r="L43" s="119">
        <f>K43*3000</f>
        <v>0</v>
      </c>
      <c r="M43" s="54"/>
      <c r="N43" s="180"/>
    </row>
    <row r="44" spans="1:14" s="38" customFormat="1" ht="15" x14ac:dyDescent="0.25">
      <c r="A44" s="25"/>
      <c r="B44" s="48" t="s">
        <v>51</v>
      </c>
      <c r="C44" s="64">
        <f t="shared" si="5"/>
        <v>1</v>
      </c>
      <c r="D44" s="64">
        <f t="shared" si="5"/>
        <v>4000</v>
      </c>
      <c r="E44" s="64">
        <f t="shared" si="5"/>
        <v>0</v>
      </c>
      <c r="F44" s="64">
        <f t="shared" si="5"/>
        <v>0</v>
      </c>
      <c r="G44" s="47">
        <v>1</v>
      </c>
      <c r="H44" s="119">
        <f>G44*4000</f>
        <v>4000</v>
      </c>
      <c r="I44" s="54"/>
      <c r="J44" s="54"/>
      <c r="K44" s="54"/>
      <c r="L44" s="119">
        <f>K44*4000</f>
        <v>0</v>
      </c>
      <c r="M44" s="54"/>
      <c r="N44" s="180"/>
    </row>
    <row r="45" spans="1:14" s="38" customFormat="1" ht="15" x14ac:dyDescent="0.25">
      <c r="A45" s="25"/>
      <c r="B45" s="48" t="s">
        <v>52</v>
      </c>
      <c r="C45" s="64">
        <f t="shared" si="5"/>
        <v>8</v>
      </c>
      <c r="D45" s="64">
        <f t="shared" si="5"/>
        <v>24000</v>
      </c>
      <c r="E45" s="64">
        <f t="shared" si="5"/>
        <v>0</v>
      </c>
      <c r="F45" s="64">
        <f t="shared" si="5"/>
        <v>0</v>
      </c>
      <c r="G45" s="47">
        <f>8</f>
        <v>8</v>
      </c>
      <c r="H45" s="119">
        <f>G45*3000</f>
        <v>24000</v>
      </c>
      <c r="I45" s="54"/>
      <c r="J45" s="54"/>
      <c r="K45" s="54"/>
      <c r="L45" s="119"/>
      <c r="M45" s="54"/>
      <c r="N45" s="180"/>
    </row>
    <row r="46" spans="1:14" s="38" customFormat="1" x14ac:dyDescent="0.2">
      <c r="A46" s="25"/>
      <c r="B46" s="209" t="s">
        <v>53</v>
      </c>
      <c r="C46" s="64">
        <f t="shared" si="5"/>
        <v>12</v>
      </c>
      <c r="D46" s="64">
        <f t="shared" si="5"/>
        <v>36000</v>
      </c>
      <c r="E46" s="64">
        <f t="shared" si="5"/>
        <v>0</v>
      </c>
      <c r="F46" s="64">
        <f t="shared" si="5"/>
        <v>0</v>
      </c>
      <c r="G46" s="54">
        <v>12</v>
      </c>
      <c r="H46" s="119">
        <f>G46*3000</f>
        <v>36000</v>
      </c>
      <c r="I46" s="54"/>
      <c r="J46" s="54"/>
      <c r="K46" s="54"/>
      <c r="L46" s="119"/>
      <c r="M46" s="54"/>
      <c r="N46" s="180"/>
    </row>
    <row r="47" spans="1:14" s="38" customFormat="1" ht="15.75" thickBot="1" x14ac:dyDescent="0.3">
      <c r="A47" s="181"/>
      <c r="B47" s="182" t="s">
        <v>54</v>
      </c>
      <c r="C47" s="239">
        <f t="shared" si="5"/>
        <v>10</v>
      </c>
      <c r="D47" s="239">
        <f t="shared" si="5"/>
        <v>45000</v>
      </c>
      <c r="E47" s="239">
        <v>0</v>
      </c>
      <c r="F47" s="239">
        <v>0</v>
      </c>
      <c r="G47" s="183">
        <v>10</v>
      </c>
      <c r="H47" s="184">
        <f>G47*4500</f>
        <v>45000</v>
      </c>
      <c r="I47" s="200"/>
      <c r="J47" s="200"/>
      <c r="K47" s="183"/>
      <c r="L47" s="184"/>
      <c r="M47" s="200"/>
      <c r="N47" s="186"/>
    </row>
    <row r="48" spans="1:14" ht="13.5" thickBot="1" x14ac:dyDescent="0.25">
      <c r="A48" s="232"/>
      <c r="B48" s="233" t="s">
        <v>154</v>
      </c>
      <c r="C48" s="107">
        <f t="shared" ref="C48:N48" si="6">SUM(C14:C47)</f>
        <v>210</v>
      </c>
      <c r="D48" s="107">
        <f t="shared" si="6"/>
        <v>523000</v>
      </c>
      <c r="E48" s="107">
        <f t="shared" si="6"/>
        <v>0</v>
      </c>
      <c r="F48" s="107">
        <f t="shared" si="6"/>
        <v>0</v>
      </c>
      <c r="G48" s="107">
        <f t="shared" si="6"/>
        <v>147</v>
      </c>
      <c r="H48" s="107">
        <f t="shared" si="6"/>
        <v>341500</v>
      </c>
      <c r="I48" s="107">
        <f t="shared" si="6"/>
        <v>0</v>
      </c>
      <c r="J48" s="107">
        <f t="shared" si="6"/>
        <v>0</v>
      </c>
      <c r="K48" s="107">
        <f t="shared" si="6"/>
        <v>63</v>
      </c>
      <c r="L48" s="107">
        <f t="shared" si="6"/>
        <v>181500</v>
      </c>
      <c r="M48" s="107">
        <f t="shared" si="6"/>
        <v>0</v>
      </c>
      <c r="N48" s="107">
        <f t="shared" si="6"/>
        <v>0</v>
      </c>
    </row>
    <row r="49" spans="1:14" s="38" customFormat="1" x14ac:dyDescent="0.2">
      <c r="A49" s="175" t="s">
        <v>6</v>
      </c>
      <c r="B49" s="194" t="s">
        <v>61</v>
      </c>
      <c r="C49" s="213"/>
      <c r="D49" s="213"/>
      <c r="E49" s="213"/>
      <c r="F49" s="213"/>
      <c r="G49" s="177"/>
      <c r="H49" s="178"/>
      <c r="I49" s="177"/>
      <c r="J49" s="177"/>
      <c r="K49" s="177"/>
      <c r="L49" s="178"/>
      <c r="M49" s="177"/>
      <c r="N49" s="179"/>
    </row>
    <row r="50" spans="1:14" s="38" customFormat="1" ht="15" x14ac:dyDescent="0.25">
      <c r="A50" s="25"/>
      <c r="B50" s="48" t="s">
        <v>64</v>
      </c>
      <c r="C50" s="64">
        <f t="shared" ref="C50:C56" si="7">G50+K50</f>
        <v>6</v>
      </c>
      <c r="D50" s="64">
        <f t="shared" ref="D50:D53" si="8">H50+L50</f>
        <v>48000</v>
      </c>
      <c r="E50" s="64">
        <f t="shared" ref="E50" si="9">I50+M50</f>
        <v>0</v>
      </c>
      <c r="F50" s="64">
        <f t="shared" ref="F50" si="10">J50+N50</f>
        <v>0</v>
      </c>
      <c r="G50" s="54">
        <v>4</v>
      </c>
      <c r="H50" s="119">
        <f>G50*8000</f>
        <v>32000</v>
      </c>
      <c r="I50" s="54"/>
      <c r="J50" s="54"/>
      <c r="K50" s="47">
        <f>2</f>
        <v>2</v>
      </c>
      <c r="L50" s="119">
        <f>K50*8000</f>
        <v>16000</v>
      </c>
      <c r="M50" s="54"/>
      <c r="N50" s="180"/>
    </row>
    <row r="51" spans="1:14" s="38" customFormat="1" ht="15" x14ac:dyDescent="0.25">
      <c r="A51" s="25"/>
      <c r="B51" s="48" t="s">
        <v>65</v>
      </c>
      <c r="C51" s="64">
        <f t="shared" si="7"/>
        <v>1</v>
      </c>
      <c r="D51" s="64">
        <f t="shared" si="8"/>
        <v>18000</v>
      </c>
      <c r="E51" s="64">
        <f t="shared" ref="E51:E56" si="11">I51+M51</f>
        <v>0</v>
      </c>
      <c r="F51" s="64">
        <f t="shared" ref="F51:F56" si="12">J51+N51</f>
        <v>0</v>
      </c>
      <c r="G51" s="54"/>
      <c r="H51" s="119">
        <f>G51*18000</f>
        <v>0</v>
      </c>
      <c r="I51" s="54"/>
      <c r="J51" s="54"/>
      <c r="K51" s="47">
        <v>1</v>
      </c>
      <c r="L51" s="119">
        <f>K51*18000</f>
        <v>18000</v>
      </c>
      <c r="M51" s="54"/>
      <c r="N51" s="180"/>
    </row>
    <row r="52" spans="1:14" s="38" customFormat="1" x14ac:dyDescent="0.2">
      <c r="A52" s="25"/>
      <c r="B52" s="193" t="s">
        <v>66</v>
      </c>
      <c r="C52" s="64">
        <f t="shared" si="7"/>
        <v>1</v>
      </c>
      <c r="D52" s="64">
        <f t="shared" si="8"/>
        <v>3000</v>
      </c>
      <c r="E52" s="64">
        <f t="shared" si="11"/>
        <v>0</v>
      </c>
      <c r="F52" s="64">
        <f t="shared" si="12"/>
        <v>0</v>
      </c>
      <c r="G52" s="54">
        <v>1</v>
      </c>
      <c r="H52" s="119">
        <f>G52*3000</f>
        <v>3000</v>
      </c>
      <c r="I52" s="54"/>
      <c r="J52" s="54"/>
      <c r="K52" s="54"/>
      <c r="L52" s="119">
        <f>K52*3000</f>
        <v>0</v>
      </c>
      <c r="M52" s="54"/>
      <c r="N52" s="180"/>
    </row>
    <row r="53" spans="1:14" s="38" customFormat="1" ht="15" x14ac:dyDescent="0.25">
      <c r="A53" s="25"/>
      <c r="B53" s="48" t="s">
        <v>67</v>
      </c>
      <c r="C53" s="64">
        <f t="shared" si="7"/>
        <v>4</v>
      </c>
      <c r="D53" s="64">
        <f t="shared" si="8"/>
        <v>24000</v>
      </c>
      <c r="E53" s="64">
        <f t="shared" si="11"/>
        <v>0</v>
      </c>
      <c r="F53" s="64">
        <f t="shared" si="12"/>
        <v>0</v>
      </c>
      <c r="G53" s="47">
        <f>3</f>
        <v>3</v>
      </c>
      <c r="H53" s="119">
        <f>G53*6000</f>
        <v>18000</v>
      </c>
      <c r="I53" s="54"/>
      <c r="J53" s="54"/>
      <c r="K53" s="47">
        <f>1</f>
        <v>1</v>
      </c>
      <c r="L53" s="119">
        <f>K53*6000</f>
        <v>6000</v>
      </c>
      <c r="M53" s="54"/>
      <c r="N53" s="180"/>
    </row>
    <row r="54" spans="1:14" s="38" customFormat="1" x14ac:dyDescent="0.2">
      <c r="A54" s="25"/>
      <c r="B54" s="48" t="s">
        <v>68</v>
      </c>
      <c r="C54" s="64">
        <f t="shared" si="7"/>
        <v>1</v>
      </c>
      <c r="D54" s="64">
        <f>H54+L54</f>
        <v>8000</v>
      </c>
      <c r="E54" s="64">
        <f t="shared" si="11"/>
        <v>0</v>
      </c>
      <c r="F54" s="64">
        <f t="shared" si="12"/>
        <v>0</v>
      </c>
      <c r="G54" s="54">
        <v>1</v>
      </c>
      <c r="H54" s="119">
        <f>G54*8000</f>
        <v>8000</v>
      </c>
      <c r="I54" s="54"/>
      <c r="J54" s="54"/>
      <c r="K54" s="54"/>
      <c r="L54" s="119"/>
      <c r="M54" s="54"/>
      <c r="N54" s="180"/>
    </row>
    <row r="55" spans="1:14" s="38" customFormat="1" x14ac:dyDescent="0.2">
      <c r="A55" s="143"/>
      <c r="B55" s="48" t="s">
        <v>69</v>
      </c>
      <c r="C55" s="64">
        <f t="shared" si="7"/>
        <v>0</v>
      </c>
      <c r="D55" s="64">
        <f t="shared" ref="D55:D56" si="13">H55+L55</f>
        <v>0</v>
      </c>
      <c r="E55" s="64">
        <f t="shared" si="11"/>
        <v>0</v>
      </c>
      <c r="F55" s="64">
        <f t="shared" si="12"/>
        <v>0</v>
      </c>
      <c r="G55" s="54"/>
      <c r="H55" s="119">
        <f>G55*5000</f>
        <v>0</v>
      </c>
      <c r="I55" s="54"/>
      <c r="J55" s="54"/>
      <c r="K55" s="54"/>
      <c r="L55" s="119"/>
      <c r="M55" s="54"/>
      <c r="N55" s="180"/>
    </row>
    <row r="56" spans="1:14" s="38" customFormat="1" ht="15" x14ac:dyDescent="0.25">
      <c r="A56" s="143"/>
      <c r="B56" s="48" t="s">
        <v>70</v>
      </c>
      <c r="C56" s="64">
        <f t="shared" si="7"/>
        <v>0</v>
      </c>
      <c r="D56" s="64">
        <f t="shared" si="13"/>
        <v>0</v>
      </c>
      <c r="E56" s="64">
        <f t="shared" si="11"/>
        <v>0</v>
      </c>
      <c r="F56" s="64">
        <f t="shared" si="12"/>
        <v>0</v>
      </c>
      <c r="G56" s="47">
        <v>0</v>
      </c>
      <c r="H56" s="119">
        <v>0</v>
      </c>
      <c r="I56" s="54"/>
      <c r="J56" s="54"/>
      <c r="K56" s="54"/>
      <c r="L56" s="119"/>
      <c r="M56" s="54"/>
      <c r="N56" s="180"/>
    </row>
    <row r="57" spans="1:14" s="38" customFormat="1" x14ac:dyDescent="0.2">
      <c r="A57" s="143"/>
      <c r="B57" s="48" t="s">
        <v>71</v>
      </c>
      <c r="C57" s="64">
        <f t="shared" ref="C57:F59" si="14">G57+K57</f>
        <v>0</v>
      </c>
      <c r="D57" s="64">
        <f t="shared" si="14"/>
        <v>0</v>
      </c>
      <c r="E57" s="64">
        <f t="shared" si="14"/>
        <v>0</v>
      </c>
      <c r="F57" s="64">
        <f t="shared" si="14"/>
        <v>0</v>
      </c>
      <c r="G57" s="54"/>
      <c r="H57" s="119"/>
      <c r="I57" s="54"/>
      <c r="J57" s="54"/>
      <c r="K57" s="54"/>
      <c r="L57" s="119"/>
      <c r="M57" s="54"/>
      <c r="N57" s="180"/>
    </row>
    <row r="58" spans="1:14" s="38" customFormat="1" x14ac:dyDescent="0.2">
      <c r="A58" s="143"/>
      <c r="B58" s="48" t="s">
        <v>72</v>
      </c>
      <c r="C58" s="64">
        <f t="shared" si="14"/>
        <v>0</v>
      </c>
      <c r="D58" s="64">
        <f t="shared" ref="D58:D59" si="15">H58+L58</f>
        <v>0</v>
      </c>
      <c r="E58" s="64">
        <f t="shared" ref="E58:E59" si="16">I58+M58</f>
        <v>0</v>
      </c>
      <c r="F58" s="64">
        <f t="shared" ref="F58:F59" si="17">J58+N58</f>
        <v>0</v>
      </c>
      <c r="G58" s="54"/>
      <c r="H58" s="119"/>
      <c r="I58" s="54"/>
      <c r="J58" s="54"/>
      <c r="K58" s="54"/>
      <c r="L58" s="119"/>
      <c r="M58" s="54"/>
      <c r="N58" s="180"/>
    </row>
    <row r="59" spans="1:14" s="38" customFormat="1" ht="13.5" thickBot="1" x14ac:dyDescent="0.25">
      <c r="A59" s="195"/>
      <c r="B59" s="182" t="s">
        <v>73</v>
      </c>
      <c r="C59" s="239">
        <f t="shared" si="14"/>
        <v>1</v>
      </c>
      <c r="D59" s="239">
        <f t="shared" si="15"/>
        <v>814500</v>
      </c>
      <c r="E59" s="239">
        <f t="shared" si="16"/>
        <v>0</v>
      </c>
      <c r="F59" s="239">
        <f t="shared" si="17"/>
        <v>0</v>
      </c>
      <c r="G59" s="200">
        <v>1</v>
      </c>
      <c r="H59" s="184">
        <f>780000+34500</f>
        <v>814500</v>
      </c>
      <c r="I59" s="200"/>
      <c r="J59" s="200"/>
      <c r="K59" s="200"/>
      <c r="L59" s="184"/>
      <c r="M59" s="200"/>
      <c r="N59" s="186"/>
    </row>
    <row r="60" spans="1:14" ht="13.5" thickBot="1" x14ac:dyDescent="0.25">
      <c r="A60" s="232"/>
      <c r="B60" s="255" t="s">
        <v>156</v>
      </c>
      <c r="C60" s="256">
        <f t="shared" ref="C60:N60" si="18">SUM(C50:C59)</f>
        <v>14</v>
      </c>
      <c r="D60" s="256">
        <f t="shared" si="18"/>
        <v>915500</v>
      </c>
      <c r="E60" s="256">
        <f t="shared" si="18"/>
        <v>0</v>
      </c>
      <c r="F60" s="256">
        <f t="shared" si="18"/>
        <v>0</v>
      </c>
      <c r="G60" s="256">
        <f t="shared" si="18"/>
        <v>10</v>
      </c>
      <c r="H60" s="256">
        <f t="shared" si="18"/>
        <v>875500</v>
      </c>
      <c r="I60" s="256">
        <f t="shared" si="18"/>
        <v>0</v>
      </c>
      <c r="J60" s="256">
        <f t="shared" si="18"/>
        <v>0</v>
      </c>
      <c r="K60" s="256">
        <f t="shared" si="18"/>
        <v>4</v>
      </c>
      <c r="L60" s="256">
        <f t="shared" si="18"/>
        <v>40000</v>
      </c>
      <c r="M60" s="256">
        <f t="shared" si="18"/>
        <v>0</v>
      </c>
      <c r="N60" s="256">
        <f t="shared" si="18"/>
        <v>0</v>
      </c>
    </row>
    <row r="61" spans="1:14" x14ac:dyDescent="0.2">
      <c r="A61" s="175" t="s">
        <v>7</v>
      </c>
      <c r="B61" s="176" t="s">
        <v>74</v>
      </c>
      <c r="C61" s="213"/>
      <c r="D61" s="213"/>
      <c r="E61" s="213"/>
      <c r="F61" s="213"/>
      <c r="G61" s="177"/>
      <c r="H61" s="178"/>
      <c r="I61" s="177"/>
      <c r="J61" s="177"/>
      <c r="K61" s="177"/>
      <c r="L61" s="178"/>
      <c r="M61" s="177"/>
      <c r="N61" s="179"/>
    </row>
    <row r="62" spans="1:14" s="38" customFormat="1" ht="15" x14ac:dyDescent="0.25">
      <c r="A62" s="25"/>
      <c r="B62" s="135" t="s">
        <v>75</v>
      </c>
      <c r="C62" s="64">
        <f t="shared" ref="C62:C72" si="19">G62+K62</f>
        <v>0</v>
      </c>
      <c r="D62" s="64">
        <f>H62+L62</f>
        <v>0</v>
      </c>
      <c r="E62" s="64">
        <f>I62+M62</f>
        <v>0</v>
      </c>
      <c r="F62" s="64">
        <f>J62+N62</f>
        <v>0</v>
      </c>
      <c r="G62" s="54"/>
      <c r="H62" s="119"/>
      <c r="I62" s="54"/>
      <c r="J62" s="54"/>
      <c r="K62" s="47"/>
      <c r="L62" s="47"/>
      <c r="M62" s="54"/>
      <c r="N62" s="180"/>
    </row>
    <row r="63" spans="1:14" s="38" customFormat="1" ht="15" x14ac:dyDescent="0.25">
      <c r="A63" s="25"/>
      <c r="B63" s="135" t="s">
        <v>76</v>
      </c>
      <c r="C63" s="64">
        <f t="shared" si="19"/>
        <v>0</v>
      </c>
      <c r="D63" s="64">
        <f t="shared" ref="D63:D72" si="20">H63+L63</f>
        <v>0</v>
      </c>
      <c r="E63" s="64">
        <f t="shared" ref="E63:E72" si="21">I63+M63</f>
        <v>0</v>
      </c>
      <c r="F63" s="64">
        <f t="shared" ref="F63:F72" si="22">J63+N63</f>
        <v>0</v>
      </c>
      <c r="G63" s="47">
        <v>0</v>
      </c>
      <c r="H63" s="119">
        <v>0</v>
      </c>
      <c r="I63" s="54"/>
      <c r="J63" s="54"/>
      <c r="K63" s="54"/>
      <c r="L63" s="119"/>
      <c r="M63" s="54"/>
      <c r="N63" s="180"/>
    </row>
    <row r="64" spans="1:14" s="38" customFormat="1" ht="15" x14ac:dyDescent="0.25">
      <c r="A64" s="25"/>
      <c r="B64" s="135" t="s">
        <v>77</v>
      </c>
      <c r="C64" s="64">
        <f t="shared" si="19"/>
        <v>0</v>
      </c>
      <c r="D64" s="64">
        <f t="shared" si="20"/>
        <v>0</v>
      </c>
      <c r="E64" s="64">
        <f t="shared" si="21"/>
        <v>0</v>
      </c>
      <c r="F64" s="64">
        <f t="shared" si="22"/>
        <v>0</v>
      </c>
      <c r="G64" s="47">
        <v>0</v>
      </c>
      <c r="H64" s="119">
        <v>0</v>
      </c>
      <c r="I64" s="54"/>
      <c r="J64" s="54"/>
      <c r="K64" s="47"/>
      <c r="L64" s="47"/>
      <c r="M64" s="54"/>
      <c r="N64" s="180"/>
    </row>
    <row r="65" spans="1:14" s="38" customFormat="1" ht="15" x14ac:dyDescent="0.25">
      <c r="A65" s="25"/>
      <c r="B65" s="135" t="s">
        <v>78</v>
      </c>
      <c r="C65" s="64">
        <f t="shared" si="19"/>
        <v>2</v>
      </c>
      <c r="D65" s="64">
        <f t="shared" si="20"/>
        <v>5000</v>
      </c>
      <c r="E65" s="64">
        <f t="shared" si="21"/>
        <v>0</v>
      </c>
      <c r="F65" s="64">
        <f t="shared" si="22"/>
        <v>0</v>
      </c>
      <c r="G65" s="47">
        <v>2</v>
      </c>
      <c r="H65" s="119">
        <f>G65*2500</f>
        <v>5000</v>
      </c>
      <c r="I65" s="54"/>
      <c r="J65" s="54"/>
      <c r="K65" s="54"/>
      <c r="L65" s="119"/>
      <c r="M65" s="54"/>
      <c r="N65" s="180"/>
    </row>
    <row r="66" spans="1:14" s="38" customFormat="1" x14ac:dyDescent="0.2">
      <c r="A66" s="25"/>
      <c r="B66" s="135" t="s">
        <v>79</v>
      </c>
      <c r="C66" s="64">
        <f t="shared" si="19"/>
        <v>0</v>
      </c>
      <c r="D66" s="64">
        <f t="shared" si="20"/>
        <v>0</v>
      </c>
      <c r="E66" s="64">
        <f t="shared" si="21"/>
        <v>0</v>
      </c>
      <c r="F66" s="64">
        <f t="shared" si="22"/>
        <v>0</v>
      </c>
      <c r="G66" s="54"/>
      <c r="H66" s="119"/>
      <c r="I66" s="54"/>
      <c r="J66" s="54"/>
      <c r="K66" s="54"/>
      <c r="L66" s="119"/>
      <c r="M66" s="54"/>
      <c r="N66" s="180"/>
    </row>
    <row r="67" spans="1:14" s="38" customFormat="1" x14ac:dyDescent="0.2">
      <c r="A67" s="25"/>
      <c r="B67" s="135" t="s">
        <v>80</v>
      </c>
      <c r="C67" s="64">
        <f t="shared" si="19"/>
        <v>0</v>
      </c>
      <c r="D67" s="64">
        <f t="shared" si="20"/>
        <v>0</v>
      </c>
      <c r="E67" s="64">
        <f t="shared" si="21"/>
        <v>0</v>
      </c>
      <c r="F67" s="64">
        <f t="shared" si="22"/>
        <v>0</v>
      </c>
      <c r="G67" s="54"/>
      <c r="H67" s="119"/>
      <c r="I67" s="54"/>
      <c r="J67" s="54"/>
      <c r="K67" s="54"/>
      <c r="L67" s="119"/>
      <c r="M67" s="54"/>
      <c r="N67" s="180"/>
    </row>
    <row r="68" spans="1:14" s="38" customFormat="1" x14ac:dyDescent="0.2">
      <c r="A68" s="25"/>
      <c r="B68" s="135" t="s">
        <v>81</v>
      </c>
      <c r="C68" s="64">
        <f t="shared" si="19"/>
        <v>1</v>
      </c>
      <c r="D68" s="64">
        <f t="shared" si="20"/>
        <v>150000</v>
      </c>
      <c r="E68" s="64">
        <f t="shared" si="21"/>
        <v>0</v>
      </c>
      <c r="F68" s="64">
        <f t="shared" si="22"/>
        <v>0</v>
      </c>
      <c r="G68" s="54"/>
      <c r="H68" s="119"/>
      <c r="I68" s="54"/>
      <c r="J68" s="54"/>
      <c r="K68" s="54">
        <f>1</f>
        <v>1</v>
      </c>
      <c r="L68" s="119">
        <f>150000*K68</f>
        <v>150000</v>
      </c>
      <c r="M68" s="54"/>
      <c r="N68" s="180"/>
    </row>
    <row r="69" spans="1:14" s="38" customFormat="1" x14ac:dyDescent="0.2">
      <c r="A69" s="25"/>
      <c r="B69" s="135" t="s">
        <v>82</v>
      </c>
      <c r="C69" s="64">
        <f t="shared" si="19"/>
        <v>0</v>
      </c>
      <c r="D69" s="64">
        <f t="shared" si="20"/>
        <v>0</v>
      </c>
      <c r="E69" s="64">
        <f t="shared" si="21"/>
        <v>0</v>
      </c>
      <c r="F69" s="64">
        <f t="shared" si="22"/>
        <v>0</v>
      </c>
      <c r="G69" s="54"/>
      <c r="H69" s="119"/>
      <c r="I69" s="54"/>
      <c r="J69" s="54"/>
      <c r="K69" s="54"/>
      <c r="L69" s="119"/>
      <c r="M69" s="54"/>
      <c r="N69" s="180"/>
    </row>
    <row r="70" spans="1:14" s="38" customFormat="1" x14ac:dyDescent="0.2">
      <c r="A70" s="25"/>
      <c r="B70" s="135" t="s">
        <v>83</v>
      </c>
      <c r="C70" s="64">
        <f t="shared" si="19"/>
        <v>1</v>
      </c>
      <c r="D70" s="64">
        <f t="shared" si="20"/>
        <v>15000</v>
      </c>
      <c r="E70" s="64">
        <f t="shared" si="21"/>
        <v>0</v>
      </c>
      <c r="F70" s="64">
        <f t="shared" si="22"/>
        <v>0</v>
      </c>
      <c r="G70" s="54"/>
      <c r="H70" s="119"/>
      <c r="I70" s="54"/>
      <c r="J70" s="54"/>
      <c r="K70" s="54">
        <f>1</f>
        <v>1</v>
      </c>
      <c r="L70" s="119">
        <f>K70*15000</f>
        <v>15000</v>
      </c>
      <c r="M70" s="54"/>
      <c r="N70" s="180"/>
    </row>
    <row r="71" spans="1:14" s="38" customFormat="1" ht="15" x14ac:dyDescent="0.25">
      <c r="A71" s="25"/>
      <c r="B71" s="135" t="s">
        <v>84</v>
      </c>
      <c r="C71" s="64">
        <f t="shared" si="19"/>
        <v>0</v>
      </c>
      <c r="D71" s="64">
        <f t="shared" si="20"/>
        <v>0</v>
      </c>
      <c r="E71" s="64">
        <f t="shared" si="21"/>
        <v>0</v>
      </c>
      <c r="F71" s="64">
        <f t="shared" si="22"/>
        <v>0</v>
      </c>
      <c r="G71" s="47"/>
      <c r="H71" s="119"/>
      <c r="I71" s="54"/>
      <c r="J71" s="54"/>
      <c r="K71" s="54"/>
      <c r="L71" s="119"/>
      <c r="M71" s="54"/>
      <c r="N71" s="180"/>
    </row>
    <row r="72" spans="1:14" s="38" customFormat="1" ht="15.75" thickBot="1" x14ac:dyDescent="0.3">
      <c r="A72" s="187"/>
      <c r="B72" s="201" t="s">
        <v>85</v>
      </c>
      <c r="C72" s="241">
        <f t="shared" si="19"/>
        <v>0</v>
      </c>
      <c r="D72" s="241">
        <f t="shared" si="20"/>
        <v>0</v>
      </c>
      <c r="E72" s="241">
        <f t="shared" si="21"/>
        <v>0</v>
      </c>
      <c r="F72" s="241">
        <f t="shared" si="22"/>
        <v>0</v>
      </c>
      <c r="G72" s="120">
        <v>0</v>
      </c>
      <c r="H72" s="189">
        <v>0</v>
      </c>
      <c r="I72" s="202"/>
      <c r="J72" s="202"/>
      <c r="K72" s="202"/>
      <c r="L72" s="189"/>
      <c r="M72" s="202"/>
      <c r="N72" s="191"/>
    </row>
    <row r="73" spans="1:14" ht="13.5" thickBot="1" x14ac:dyDescent="0.25">
      <c r="A73" s="171"/>
      <c r="B73" s="172" t="s">
        <v>157</v>
      </c>
      <c r="C73" s="173">
        <f t="shared" ref="C73:N73" si="23">SUM(C62:C72)</f>
        <v>4</v>
      </c>
      <c r="D73" s="173">
        <f t="shared" si="23"/>
        <v>170000</v>
      </c>
      <c r="E73" s="173">
        <f t="shared" si="23"/>
        <v>0</v>
      </c>
      <c r="F73" s="173">
        <f t="shared" si="23"/>
        <v>0</v>
      </c>
      <c r="G73" s="173">
        <f t="shared" si="23"/>
        <v>2</v>
      </c>
      <c r="H73" s="173">
        <f t="shared" si="23"/>
        <v>5000</v>
      </c>
      <c r="I73" s="173">
        <f t="shared" si="23"/>
        <v>0</v>
      </c>
      <c r="J73" s="173">
        <f t="shared" si="23"/>
        <v>0</v>
      </c>
      <c r="K73" s="173">
        <f t="shared" si="23"/>
        <v>2</v>
      </c>
      <c r="L73" s="173">
        <f t="shared" si="23"/>
        <v>165000</v>
      </c>
      <c r="M73" s="173">
        <f t="shared" si="23"/>
        <v>0</v>
      </c>
      <c r="N73" s="173">
        <f t="shared" si="23"/>
        <v>0</v>
      </c>
    </row>
    <row r="74" spans="1:14" x14ac:dyDescent="0.2">
      <c r="A74" s="175" t="s">
        <v>8</v>
      </c>
      <c r="B74" s="194" t="s">
        <v>86</v>
      </c>
      <c r="C74" s="213"/>
      <c r="D74" s="213"/>
      <c r="E74" s="213"/>
      <c r="F74" s="213"/>
      <c r="G74" s="177"/>
      <c r="H74" s="178"/>
      <c r="I74" s="177"/>
      <c r="J74" s="177"/>
      <c r="K74" s="177"/>
      <c r="L74" s="178"/>
      <c r="M74" s="177"/>
      <c r="N74" s="179"/>
    </row>
    <row r="75" spans="1:14" s="38" customFormat="1" x14ac:dyDescent="0.2">
      <c r="A75" s="25"/>
      <c r="B75" s="193" t="s">
        <v>87</v>
      </c>
      <c r="C75" s="64">
        <f t="shared" ref="C75:F76" si="24">G75+K75+O75</f>
        <v>0</v>
      </c>
      <c r="D75" s="64">
        <f t="shared" si="24"/>
        <v>0</v>
      </c>
      <c r="E75" s="64">
        <f t="shared" si="24"/>
        <v>0</v>
      </c>
      <c r="F75" s="64">
        <f t="shared" si="24"/>
        <v>0</v>
      </c>
      <c r="G75" s="54"/>
      <c r="H75" s="119"/>
      <c r="I75" s="54"/>
      <c r="J75" s="54"/>
      <c r="K75" s="54"/>
      <c r="L75" s="119"/>
      <c r="M75" s="54"/>
      <c r="N75" s="180"/>
    </row>
    <row r="76" spans="1:14" s="38" customFormat="1" ht="26.25" thickBot="1" x14ac:dyDescent="0.25">
      <c r="A76" s="187"/>
      <c r="B76" s="204" t="s">
        <v>88</v>
      </c>
      <c r="C76" s="241">
        <f t="shared" si="24"/>
        <v>1</v>
      </c>
      <c r="D76" s="241">
        <f t="shared" si="24"/>
        <v>8000</v>
      </c>
      <c r="E76" s="241">
        <f t="shared" si="24"/>
        <v>0</v>
      </c>
      <c r="F76" s="241">
        <f t="shared" si="24"/>
        <v>0</v>
      </c>
      <c r="G76" s="202">
        <f>1</f>
        <v>1</v>
      </c>
      <c r="H76" s="189">
        <f>8000*G76</f>
        <v>8000</v>
      </c>
      <c r="I76" s="202"/>
      <c r="J76" s="202"/>
      <c r="K76" s="202"/>
      <c r="L76" s="189"/>
      <c r="M76" s="202"/>
      <c r="N76" s="191"/>
    </row>
    <row r="77" spans="1:14" ht="13.5" thickBot="1" x14ac:dyDescent="0.25">
      <c r="A77" s="171"/>
      <c r="B77" s="172" t="s">
        <v>158</v>
      </c>
      <c r="C77" s="173">
        <f t="shared" ref="C77:N77" si="25">SUM(C75:C76)</f>
        <v>1</v>
      </c>
      <c r="D77" s="173">
        <f t="shared" si="25"/>
        <v>8000</v>
      </c>
      <c r="E77" s="173">
        <f t="shared" si="25"/>
        <v>0</v>
      </c>
      <c r="F77" s="173">
        <f t="shared" si="25"/>
        <v>0</v>
      </c>
      <c r="G77" s="173">
        <f t="shared" si="25"/>
        <v>1</v>
      </c>
      <c r="H77" s="173">
        <f t="shared" si="25"/>
        <v>8000</v>
      </c>
      <c r="I77" s="173">
        <f t="shared" si="25"/>
        <v>0</v>
      </c>
      <c r="J77" s="173">
        <f t="shared" si="25"/>
        <v>0</v>
      </c>
      <c r="K77" s="173">
        <f t="shared" si="25"/>
        <v>0</v>
      </c>
      <c r="L77" s="173">
        <f t="shared" si="25"/>
        <v>0</v>
      </c>
      <c r="M77" s="173">
        <f t="shared" si="25"/>
        <v>0</v>
      </c>
      <c r="N77" s="173">
        <f t="shared" si="25"/>
        <v>0</v>
      </c>
    </row>
    <row r="78" spans="1:14" x14ac:dyDescent="0.2">
      <c r="A78" s="175" t="s">
        <v>9</v>
      </c>
      <c r="B78" s="176" t="s">
        <v>90</v>
      </c>
      <c r="C78" s="213"/>
      <c r="D78" s="213"/>
      <c r="E78" s="213"/>
      <c r="F78" s="213"/>
      <c r="G78" s="177"/>
      <c r="H78" s="178"/>
      <c r="I78" s="177"/>
      <c r="J78" s="177"/>
      <c r="K78" s="177"/>
      <c r="L78" s="178"/>
      <c r="M78" s="177"/>
      <c r="N78" s="179"/>
    </row>
    <row r="79" spans="1:14" s="38" customFormat="1" x14ac:dyDescent="0.2">
      <c r="A79" s="25"/>
      <c r="B79" s="205" t="s">
        <v>91</v>
      </c>
      <c r="C79" s="64">
        <f t="shared" ref="C79:F80" si="26">G79+K79+O79</f>
        <v>1</v>
      </c>
      <c r="D79" s="64">
        <f t="shared" si="26"/>
        <v>550000</v>
      </c>
      <c r="E79" s="64">
        <f t="shared" si="26"/>
        <v>0</v>
      </c>
      <c r="F79" s="64">
        <f t="shared" si="26"/>
        <v>0</v>
      </c>
      <c r="G79" s="54">
        <v>1</v>
      </c>
      <c r="H79" s="119">
        <f>G79*550000</f>
        <v>550000</v>
      </c>
      <c r="I79" s="54"/>
      <c r="J79" s="54"/>
      <c r="K79" s="54">
        <v>0</v>
      </c>
      <c r="L79" s="119">
        <f>K79*550000</f>
        <v>0</v>
      </c>
      <c r="M79" s="54"/>
      <c r="N79" s="180"/>
    </row>
    <row r="80" spans="1:14" s="38" customFormat="1" ht="15" x14ac:dyDescent="0.25">
      <c r="A80" s="25"/>
      <c r="B80" s="205" t="s">
        <v>92</v>
      </c>
      <c r="C80" s="64">
        <f t="shared" si="26"/>
        <v>2</v>
      </c>
      <c r="D80" s="64">
        <f t="shared" si="26"/>
        <v>900000</v>
      </c>
      <c r="E80" s="64">
        <f t="shared" si="26"/>
        <v>0</v>
      </c>
      <c r="F80" s="64">
        <f t="shared" si="26"/>
        <v>0</v>
      </c>
      <c r="G80" s="47">
        <v>1</v>
      </c>
      <c r="H80" s="119">
        <f>G80*450000</f>
        <v>450000</v>
      </c>
      <c r="I80" s="54"/>
      <c r="J80" s="54"/>
      <c r="K80" s="54">
        <v>1</v>
      </c>
      <c r="L80" s="119">
        <f>K80*450000</f>
        <v>450000</v>
      </c>
      <c r="M80" s="54"/>
      <c r="N80" s="180"/>
    </row>
    <row r="81" spans="1:14" s="38" customFormat="1" ht="15" x14ac:dyDescent="0.25">
      <c r="A81" s="25"/>
      <c r="B81" s="205" t="s">
        <v>93</v>
      </c>
      <c r="C81" s="64"/>
      <c r="D81" s="64"/>
      <c r="E81" s="64"/>
      <c r="F81" s="64"/>
      <c r="G81" s="47">
        <v>0</v>
      </c>
      <c r="H81" s="119">
        <f>G81*15000</f>
        <v>0</v>
      </c>
      <c r="I81" s="54"/>
      <c r="J81" s="54"/>
      <c r="K81" s="54">
        <v>0</v>
      </c>
      <c r="L81" s="119">
        <f>K81*15000</f>
        <v>0</v>
      </c>
      <c r="M81" s="54"/>
      <c r="N81" s="180"/>
    </row>
    <row r="82" spans="1:14" s="38" customFormat="1" x14ac:dyDescent="0.2">
      <c r="A82" s="25"/>
      <c r="B82" s="205" t="s">
        <v>94</v>
      </c>
      <c r="C82" s="64">
        <f>G82+K82+O82</f>
        <v>3</v>
      </c>
      <c r="D82" s="64">
        <f>H82+L82+P82</f>
        <v>390000</v>
      </c>
      <c r="E82" s="64">
        <f>I82+M82+Q82</f>
        <v>0</v>
      </c>
      <c r="F82" s="64">
        <f>J82+N82+R82</f>
        <v>0</v>
      </c>
      <c r="G82" s="54">
        <v>2</v>
      </c>
      <c r="H82" s="119">
        <f>G82*130000</f>
        <v>260000</v>
      </c>
      <c r="I82" s="54"/>
      <c r="J82" s="54"/>
      <c r="K82" s="54">
        <v>1</v>
      </c>
      <c r="L82" s="119">
        <f>K82*130000</f>
        <v>130000</v>
      </c>
      <c r="M82" s="54"/>
      <c r="N82" s="180"/>
    </row>
    <row r="83" spans="1:14" s="38" customFormat="1" ht="15" x14ac:dyDescent="0.25">
      <c r="A83" s="25"/>
      <c r="B83" s="48" t="s">
        <v>95</v>
      </c>
      <c r="C83" s="64">
        <f t="shared" ref="C83:F91" si="27">G83+K83+O83</f>
        <v>1</v>
      </c>
      <c r="D83" s="64">
        <f t="shared" si="27"/>
        <v>5000</v>
      </c>
      <c r="E83" s="64">
        <f t="shared" si="27"/>
        <v>0</v>
      </c>
      <c r="F83" s="64">
        <f t="shared" si="27"/>
        <v>0</v>
      </c>
      <c r="G83" s="47">
        <v>1</v>
      </c>
      <c r="H83" s="119">
        <f>G83*5000</f>
        <v>5000</v>
      </c>
      <c r="I83" s="54"/>
      <c r="J83" s="54"/>
      <c r="K83" s="54">
        <v>0</v>
      </c>
      <c r="L83" s="119">
        <f>K83*5000</f>
        <v>0</v>
      </c>
      <c r="M83" s="54"/>
      <c r="N83" s="180"/>
    </row>
    <row r="84" spans="1:14" s="141" customFormat="1" ht="15" x14ac:dyDescent="0.25">
      <c r="A84" s="25"/>
      <c r="B84" s="205" t="s">
        <v>96</v>
      </c>
      <c r="C84" s="64">
        <f t="shared" ref="C84:F89" si="28">G84+K84+O84</f>
        <v>5</v>
      </c>
      <c r="D84" s="64">
        <f t="shared" si="28"/>
        <v>25000</v>
      </c>
      <c r="E84" s="64">
        <f t="shared" si="28"/>
        <v>0</v>
      </c>
      <c r="F84" s="64">
        <f t="shared" si="28"/>
        <v>0</v>
      </c>
      <c r="G84" s="47">
        <v>5</v>
      </c>
      <c r="H84" s="119">
        <f>G84*5000</f>
        <v>25000</v>
      </c>
      <c r="I84" s="54"/>
      <c r="J84" s="54"/>
      <c r="K84" s="54">
        <v>0</v>
      </c>
      <c r="L84" s="119">
        <f>K84*5000</f>
        <v>0</v>
      </c>
      <c r="M84" s="54"/>
      <c r="N84" s="180"/>
    </row>
    <row r="85" spans="1:14" s="141" customFormat="1" ht="15" x14ac:dyDescent="0.25">
      <c r="A85" s="25"/>
      <c r="B85" s="205" t="s">
        <v>97</v>
      </c>
      <c r="C85" s="64">
        <f t="shared" si="28"/>
        <v>1</v>
      </c>
      <c r="D85" s="64">
        <f t="shared" si="28"/>
        <v>7000</v>
      </c>
      <c r="E85" s="64">
        <f t="shared" si="28"/>
        <v>0</v>
      </c>
      <c r="F85" s="64">
        <f t="shared" si="28"/>
        <v>0</v>
      </c>
      <c r="G85" s="47">
        <v>1</v>
      </c>
      <c r="H85" s="119">
        <f>G85*7000</f>
        <v>7000</v>
      </c>
      <c r="I85" s="54"/>
      <c r="J85" s="54"/>
      <c r="K85" s="47">
        <v>0</v>
      </c>
      <c r="L85" s="119">
        <f>K85*7000</f>
        <v>0</v>
      </c>
      <c r="M85" s="54"/>
      <c r="N85" s="180"/>
    </row>
    <row r="86" spans="1:14" s="141" customFormat="1" ht="15" x14ac:dyDescent="0.25">
      <c r="A86" s="25"/>
      <c r="B86" s="205" t="s">
        <v>98</v>
      </c>
      <c r="C86" s="64">
        <f t="shared" si="28"/>
        <v>3</v>
      </c>
      <c r="D86" s="64">
        <f t="shared" si="28"/>
        <v>24000</v>
      </c>
      <c r="E86" s="64">
        <f t="shared" si="28"/>
        <v>0</v>
      </c>
      <c r="F86" s="64">
        <f t="shared" si="28"/>
        <v>0</v>
      </c>
      <c r="G86" s="47">
        <v>1</v>
      </c>
      <c r="H86" s="119">
        <f>G86*8000</f>
        <v>8000</v>
      </c>
      <c r="I86" s="54"/>
      <c r="J86" s="54"/>
      <c r="K86" s="47">
        <v>2</v>
      </c>
      <c r="L86" s="119">
        <f>K86*8000</f>
        <v>16000</v>
      </c>
      <c r="M86" s="54"/>
      <c r="N86" s="180"/>
    </row>
    <row r="87" spans="1:14" s="38" customFormat="1" ht="15" x14ac:dyDescent="0.25">
      <c r="A87" s="25"/>
      <c r="B87" s="205" t="s">
        <v>99</v>
      </c>
      <c r="C87" s="64">
        <f t="shared" si="28"/>
        <v>8</v>
      </c>
      <c r="D87" s="64">
        <f t="shared" si="28"/>
        <v>64000</v>
      </c>
      <c r="E87" s="64">
        <f t="shared" si="28"/>
        <v>0</v>
      </c>
      <c r="F87" s="64">
        <f t="shared" si="28"/>
        <v>0</v>
      </c>
      <c r="G87" s="47">
        <v>5</v>
      </c>
      <c r="H87" s="119">
        <f>G87*8000</f>
        <v>40000</v>
      </c>
      <c r="I87" s="54"/>
      <c r="J87" s="54"/>
      <c r="K87" s="47">
        <v>3</v>
      </c>
      <c r="L87" s="119">
        <f>K87*8000</f>
        <v>24000</v>
      </c>
      <c r="M87" s="54"/>
      <c r="N87" s="180"/>
    </row>
    <row r="88" spans="1:14" s="141" customFormat="1" x14ac:dyDescent="0.2">
      <c r="A88" s="25"/>
      <c r="B88" s="205" t="s">
        <v>100</v>
      </c>
      <c r="C88" s="64">
        <f t="shared" si="28"/>
        <v>1</v>
      </c>
      <c r="D88" s="64">
        <f t="shared" si="28"/>
        <v>25000</v>
      </c>
      <c r="E88" s="64">
        <f t="shared" si="28"/>
        <v>0</v>
      </c>
      <c r="F88" s="64">
        <f t="shared" si="28"/>
        <v>0</v>
      </c>
      <c r="G88" s="54">
        <v>0</v>
      </c>
      <c r="H88" s="119">
        <f>G88*25000</f>
        <v>0</v>
      </c>
      <c r="I88" s="54"/>
      <c r="J88" s="54"/>
      <c r="K88" s="54">
        <v>1</v>
      </c>
      <c r="L88" s="119">
        <f>K88*25000</f>
        <v>25000</v>
      </c>
      <c r="M88" s="54"/>
      <c r="N88" s="180"/>
    </row>
    <row r="89" spans="1:14" s="141" customFormat="1" x14ac:dyDescent="0.2">
      <c r="A89" s="25"/>
      <c r="B89" s="205" t="s">
        <v>101</v>
      </c>
      <c r="C89" s="64">
        <f t="shared" si="28"/>
        <v>10</v>
      </c>
      <c r="D89" s="64">
        <f t="shared" si="28"/>
        <v>15000</v>
      </c>
      <c r="E89" s="64">
        <f t="shared" si="28"/>
        <v>0</v>
      </c>
      <c r="F89" s="64">
        <f t="shared" si="28"/>
        <v>0</v>
      </c>
      <c r="G89" s="54">
        <v>10</v>
      </c>
      <c r="H89" s="119">
        <f>G89*1500</f>
        <v>15000</v>
      </c>
      <c r="I89" s="54"/>
      <c r="J89" s="54"/>
      <c r="K89" s="54">
        <v>0</v>
      </c>
      <c r="L89" s="119">
        <f>K89*1500</f>
        <v>0</v>
      </c>
      <c r="M89" s="54"/>
      <c r="N89" s="180"/>
    </row>
    <row r="90" spans="1:14" s="38" customFormat="1" ht="15" x14ac:dyDescent="0.25">
      <c r="A90" s="25"/>
      <c r="B90" s="205" t="s">
        <v>102</v>
      </c>
      <c r="C90" s="64">
        <f t="shared" si="27"/>
        <v>16</v>
      </c>
      <c r="D90" s="64">
        <f t="shared" si="27"/>
        <v>560000</v>
      </c>
      <c r="E90" s="64">
        <f t="shared" si="27"/>
        <v>0</v>
      </c>
      <c r="F90" s="64">
        <f t="shared" si="27"/>
        <v>0</v>
      </c>
      <c r="G90" s="47">
        <v>12</v>
      </c>
      <c r="H90" s="119">
        <f>G90*35000</f>
        <v>420000</v>
      </c>
      <c r="I90" s="54"/>
      <c r="J90" s="54"/>
      <c r="K90" s="54">
        <v>4</v>
      </c>
      <c r="L90" s="119">
        <f>K90*35000</f>
        <v>140000</v>
      </c>
      <c r="M90" s="54"/>
      <c r="N90" s="180"/>
    </row>
    <row r="91" spans="1:14" s="141" customFormat="1" ht="13.5" thickBot="1" x14ac:dyDescent="0.25">
      <c r="A91" s="181"/>
      <c r="B91" s="182" t="s">
        <v>103</v>
      </c>
      <c r="C91" s="239">
        <f t="shared" si="27"/>
        <v>0</v>
      </c>
      <c r="D91" s="239">
        <f t="shared" si="27"/>
        <v>0</v>
      </c>
      <c r="E91" s="239">
        <f t="shared" si="27"/>
        <v>0</v>
      </c>
      <c r="F91" s="239">
        <f t="shared" si="27"/>
        <v>0</v>
      </c>
      <c r="G91" s="200"/>
      <c r="H91" s="184"/>
      <c r="I91" s="200"/>
      <c r="J91" s="200"/>
      <c r="K91" s="200"/>
      <c r="L91" s="184"/>
      <c r="M91" s="200"/>
      <c r="N91" s="186"/>
    </row>
    <row r="92" spans="1:14" ht="13.5" thickBot="1" x14ac:dyDescent="0.25">
      <c r="A92" s="232"/>
      <c r="B92" s="233" t="s">
        <v>159</v>
      </c>
      <c r="C92" s="234">
        <f t="shared" ref="C92:N92" si="29">SUM(C79:C91)</f>
        <v>51</v>
      </c>
      <c r="D92" s="234">
        <f t="shared" si="29"/>
        <v>2565000</v>
      </c>
      <c r="E92" s="234">
        <f t="shared" si="29"/>
        <v>0</v>
      </c>
      <c r="F92" s="234">
        <f t="shared" si="29"/>
        <v>0</v>
      </c>
      <c r="G92" s="234">
        <f t="shared" si="29"/>
        <v>39</v>
      </c>
      <c r="H92" s="234">
        <f t="shared" si="29"/>
        <v>1780000</v>
      </c>
      <c r="I92" s="234">
        <f t="shared" si="29"/>
        <v>0</v>
      </c>
      <c r="J92" s="234">
        <f t="shared" si="29"/>
        <v>0</v>
      </c>
      <c r="K92" s="234">
        <f t="shared" si="29"/>
        <v>12</v>
      </c>
      <c r="L92" s="234">
        <f t="shared" si="29"/>
        <v>785000</v>
      </c>
      <c r="M92" s="234">
        <f t="shared" si="29"/>
        <v>0</v>
      </c>
      <c r="N92" s="234">
        <f t="shared" si="29"/>
        <v>0</v>
      </c>
    </row>
    <row r="93" spans="1:14" x14ac:dyDescent="0.2">
      <c r="A93" s="210" t="s">
        <v>10</v>
      </c>
      <c r="B93" s="211" t="s">
        <v>104</v>
      </c>
      <c r="C93" s="213"/>
      <c r="D93" s="213"/>
      <c r="E93" s="213"/>
      <c r="F93" s="213"/>
      <c r="G93" s="177"/>
      <c r="H93" s="178"/>
      <c r="I93" s="177"/>
      <c r="J93" s="177"/>
      <c r="K93" s="177"/>
      <c r="L93" s="178"/>
      <c r="M93" s="177"/>
      <c r="N93" s="179"/>
    </row>
    <row r="94" spans="1:14" s="141" customFormat="1" ht="15" x14ac:dyDescent="0.25">
      <c r="A94" s="143"/>
      <c r="B94" s="205" t="s">
        <v>105</v>
      </c>
      <c r="C94" s="64">
        <f t="shared" ref="C94:F124" si="30">G94+K94+O94</f>
        <v>0</v>
      </c>
      <c r="D94" s="64">
        <f t="shared" si="30"/>
        <v>0</v>
      </c>
      <c r="E94" s="64">
        <f t="shared" si="30"/>
        <v>0</v>
      </c>
      <c r="F94" s="64">
        <f t="shared" si="30"/>
        <v>0</v>
      </c>
      <c r="G94" s="47"/>
      <c r="H94" s="119"/>
      <c r="I94" s="54"/>
      <c r="J94" s="54"/>
      <c r="K94" s="47"/>
      <c r="L94" s="47"/>
      <c r="M94" s="54"/>
      <c r="N94" s="180"/>
    </row>
    <row r="95" spans="1:14" s="38" customFormat="1" x14ac:dyDescent="0.2">
      <c r="A95" s="25"/>
      <c r="B95" s="48" t="s">
        <v>106</v>
      </c>
      <c r="C95" s="64">
        <f t="shared" ref="C95" si="31">G95+K95+O95</f>
        <v>0</v>
      </c>
      <c r="D95" s="64">
        <f t="shared" si="30"/>
        <v>0</v>
      </c>
      <c r="E95" s="64">
        <f t="shared" si="30"/>
        <v>0</v>
      </c>
      <c r="F95" s="64">
        <f t="shared" si="30"/>
        <v>0</v>
      </c>
      <c r="G95" s="54"/>
      <c r="H95" s="119"/>
      <c r="I95" s="54"/>
      <c r="J95" s="54"/>
      <c r="K95" s="54"/>
      <c r="L95" s="119"/>
      <c r="M95" s="54"/>
      <c r="N95" s="180"/>
    </row>
    <row r="96" spans="1:14" s="38" customFormat="1" x14ac:dyDescent="0.2">
      <c r="A96" s="25"/>
      <c r="B96" s="48" t="s">
        <v>107</v>
      </c>
      <c r="C96" s="64">
        <f t="shared" si="30"/>
        <v>0</v>
      </c>
      <c r="D96" s="64">
        <f t="shared" si="30"/>
        <v>0</v>
      </c>
      <c r="E96" s="64">
        <f t="shared" si="30"/>
        <v>0</v>
      </c>
      <c r="F96" s="64">
        <f t="shared" si="30"/>
        <v>0</v>
      </c>
      <c r="G96" s="54"/>
      <c r="H96" s="119"/>
      <c r="I96" s="54"/>
      <c r="J96" s="54"/>
      <c r="K96" s="54"/>
      <c r="L96" s="119"/>
      <c r="M96" s="54"/>
      <c r="N96" s="180"/>
    </row>
    <row r="97" spans="1:14" s="38" customFormat="1" ht="15" x14ac:dyDescent="0.25">
      <c r="A97" s="25"/>
      <c r="B97" s="208" t="s">
        <v>109</v>
      </c>
      <c r="C97" s="64">
        <f t="shared" si="30"/>
        <v>0</v>
      </c>
      <c r="D97" s="64">
        <f t="shared" si="30"/>
        <v>0</v>
      </c>
      <c r="E97" s="64">
        <f t="shared" si="30"/>
        <v>0</v>
      </c>
      <c r="F97" s="64">
        <f t="shared" si="30"/>
        <v>0</v>
      </c>
      <c r="G97" s="47"/>
      <c r="H97" s="119"/>
      <c r="I97" s="54"/>
      <c r="J97" s="54"/>
      <c r="K97" s="54"/>
      <c r="L97" s="54"/>
      <c r="M97" s="54"/>
      <c r="N97" s="180"/>
    </row>
    <row r="98" spans="1:14" s="38" customFormat="1" x14ac:dyDescent="0.2">
      <c r="A98" s="25"/>
      <c r="B98" s="208" t="s">
        <v>111</v>
      </c>
      <c r="C98" s="64">
        <f t="shared" si="30"/>
        <v>0</v>
      </c>
      <c r="D98" s="64">
        <f t="shared" si="30"/>
        <v>0</v>
      </c>
      <c r="E98" s="64">
        <f t="shared" si="30"/>
        <v>0</v>
      </c>
      <c r="F98" s="64">
        <f t="shared" si="30"/>
        <v>0</v>
      </c>
      <c r="G98" s="54"/>
      <c r="H98" s="119"/>
      <c r="I98" s="54"/>
      <c r="J98" s="54"/>
      <c r="K98" s="54"/>
      <c r="L98" s="119"/>
      <c r="M98" s="54"/>
      <c r="N98" s="180"/>
    </row>
    <row r="99" spans="1:14" s="38" customFormat="1" x14ac:dyDescent="0.2">
      <c r="A99" s="25"/>
      <c r="B99" s="208" t="s">
        <v>113</v>
      </c>
      <c r="C99" s="64">
        <f t="shared" si="30"/>
        <v>0</v>
      </c>
      <c r="D99" s="64">
        <f t="shared" si="30"/>
        <v>0</v>
      </c>
      <c r="E99" s="64">
        <f t="shared" si="30"/>
        <v>0</v>
      </c>
      <c r="F99" s="64">
        <f t="shared" si="30"/>
        <v>0</v>
      </c>
      <c r="G99" s="54"/>
      <c r="H99" s="119"/>
      <c r="I99" s="54"/>
      <c r="J99" s="54"/>
      <c r="K99" s="54"/>
      <c r="L99" s="119"/>
      <c r="M99" s="54"/>
      <c r="N99" s="180"/>
    </row>
    <row r="100" spans="1:14" s="38" customFormat="1" ht="15" x14ac:dyDescent="0.25">
      <c r="A100" s="25"/>
      <c r="B100" s="208" t="s">
        <v>115</v>
      </c>
      <c r="C100" s="64">
        <f t="shared" si="30"/>
        <v>0</v>
      </c>
      <c r="D100" s="64">
        <f t="shared" si="30"/>
        <v>0</v>
      </c>
      <c r="E100" s="64">
        <f t="shared" si="30"/>
        <v>0</v>
      </c>
      <c r="F100" s="64">
        <f t="shared" si="30"/>
        <v>0</v>
      </c>
      <c r="G100" s="47">
        <v>0</v>
      </c>
      <c r="H100" s="119">
        <v>0</v>
      </c>
      <c r="I100" s="54"/>
      <c r="J100" s="54"/>
      <c r="K100" s="54"/>
      <c r="L100" s="119"/>
      <c r="M100" s="54"/>
      <c r="N100" s="180"/>
    </row>
    <row r="101" spans="1:14" s="38" customFormat="1" ht="15" x14ac:dyDescent="0.25">
      <c r="A101" s="25"/>
      <c r="B101" s="208" t="s">
        <v>279</v>
      </c>
      <c r="C101" s="64"/>
      <c r="D101" s="64"/>
      <c r="E101" s="64"/>
      <c r="F101" s="64"/>
      <c r="G101" s="47"/>
      <c r="H101" s="119"/>
      <c r="I101" s="54"/>
      <c r="J101" s="54"/>
      <c r="K101" s="54"/>
      <c r="L101" s="119"/>
      <c r="M101" s="54"/>
      <c r="N101" s="180"/>
    </row>
    <row r="102" spans="1:14" s="38" customFormat="1" ht="15" x14ac:dyDescent="0.25">
      <c r="A102" s="25"/>
      <c r="B102" s="205" t="s">
        <v>116</v>
      </c>
      <c r="C102" s="64">
        <f t="shared" si="30"/>
        <v>0</v>
      </c>
      <c r="D102" s="64">
        <f t="shared" si="30"/>
        <v>0</v>
      </c>
      <c r="E102" s="64">
        <f t="shared" si="30"/>
        <v>0</v>
      </c>
      <c r="F102" s="64">
        <f t="shared" si="30"/>
        <v>0</v>
      </c>
      <c r="G102" s="54"/>
      <c r="H102" s="119"/>
      <c r="I102" s="54"/>
      <c r="J102" s="54"/>
      <c r="K102" s="47"/>
      <c r="L102" s="47"/>
      <c r="M102" s="54"/>
      <c r="N102" s="180"/>
    </row>
    <row r="103" spans="1:14" s="141" customFormat="1" x14ac:dyDescent="0.2">
      <c r="A103" s="25"/>
      <c r="B103" s="208" t="s">
        <v>117</v>
      </c>
      <c r="C103" s="64">
        <f t="shared" si="30"/>
        <v>0</v>
      </c>
      <c r="D103" s="64">
        <f t="shared" si="30"/>
        <v>0</v>
      </c>
      <c r="E103" s="64">
        <f t="shared" si="30"/>
        <v>0</v>
      </c>
      <c r="F103" s="64">
        <f t="shared" si="30"/>
        <v>0</v>
      </c>
      <c r="G103" s="54"/>
      <c r="H103" s="119"/>
      <c r="I103" s="54"/>
      <c r="J103" s="54"/>
      <c r="K103" s="54"/>
      <c r="L103" s="119"/>
      <c r="M103" s="54"/>
      <c r="N103" s="180"/>
    </row>
    <row r="104" spans="1:14" s="38" customFormat="1" x14ac:dyDescent="0.2">
      <c r="A104" s="25"/>
      <c r="B104" s="48" t="s">
        <v>118</v>
      </c>
      <c r="C104" s="64">
        <f t="shared" si="30"/>
        <v>0</v>
      </c>
      <c r="D104" s="64">
        <f t="shared" si="30"/>
        <v>0</v>
      </c>
      <c r="E104" s="64">
        <f t="shared" si="30"/>
        <v>0</v>
      </c>
      <c r="F104" s="64">
        <f t="shared" si="30"/>
        <v>0</v>
      </c>
      <c r="G104" s="54"/>
      <c r="H104" s="119"/>
      <c r="I104" s="54"/>
      <c r="J104" s="54"/>
      <c r="K104" s="54"/>
      <c r="L104" s="119"/>
      <c r="M104" s="54"/>
      <c r="N104" s="180"/>
    </row>
    <row r="105" spans="1:14" s="141" customFormat="1" x14ac:dyDescent="0.2">
      <c r="A105" s="143"/>
      <c r="B105" s="205" t="s">
        <v>119</v>
      </c>
      <c r="C105" s="64">
        <f t="shared" si="30"/>
        <v>0</v>
      </c>
      <c r="D105" s="64">
        <f t="shared" si="30"/>
        <v>0</v>
      </c>
      <c r="E105" s="64">
        <f t="shared" si="30"/>
        <v>0</v>
      </c>
      <c r="F105" s="64">
        <f t="shared" si="30"/>
        <v>0</v>
      </c>
      <c r="G105" s="54"/>
      <c r="H105" s="119"/>
      <c r="I105" s="54"/>
      <c r="J105" s="54"/>
      <c r="K105" s="54"/>
      <c r="L105" s="119"/>
      <c r="M105" s="54"/>
      <c r="N105" s="180"/>
    </row>
    <row r="106" spans="1:14" s="141" customFormat="1" ht="15" x14ac:dyDescent="0.25">
      <c r="A106" s="143"/>
      <c r="B106" s="48" t="s">
        <v>120</v>
      </c>
      <c r="C106" s="64">
        <f t="shared" si="30"/>
        <v>0</v>
      </c>
      <c r="D106" s="64">
        <f t="shared" si="30"/>
        <v>0</v>
      </c>
      <c r="E106" s="64">
        <f t="shared" si="30"/>
        <v>0</v>
      </c>
      <c r="F106" s="64">
        <f t="shared" si="30"/>
        <v>0</v>
      </c>
      <c r="G106" s="54"/>
      <c r="H106" s="119"/>
      <c r="I106" s="54"/>
      <c r="J106" s="54"/>
      <c r="K106" s="47"/>
      <c r="L106" s="47"/>
      <c r="M106" s="54"/>
      <c r="N106" s="180"/>
    </row>
    <row r="107" spans="1:14" s="38" customFormat="1" ht="25.5" x14ac:dyDescent="0.2">
      <c r="A107" s="25"/>
      <c r="B107" s="320" t="s">
        <v>122</v>
      </c>
      <c r="C107" s="64">
        <f t="shared" si="30"/>
        <v>0</v>
      </c>
      <c r="D107" s="64">
        <f t="shared" si="30"/>
        <v>0</v>
      </c>
      <c r="E107" s="64">
        <f t="shared" si="30"/>
        <v>0</v>
      </c>
      <c r="F107" s="64">
        <f t="shared" si="30"/>
        <v>0</v>
      </c>
      <c r="G107" s="54"/>
      <c r="H107" s="119"/>
      <c r="I107" s="54"/>
      <c r="J107" s="54"/>
      <c r="K107" s="54"/>
      <c r="L107" s="119"/>
      <c r="M107" s="54"/>
      <c r="N107" s="180"/>
    </row>
    <row r="108" spans="1:14" s="38" customFormat="1" ht="25.5" x14ac:dyDescent="0.2">
      <c r="A108" s="25"/>
      <c r="B108" s="209" t="s">
        <v>124</v>
      </c>
      <c r="C108" s="64">
        <f t="shared" si="30"/>
        <v>0</v>
      </c>
      <c r="D108" s="64">
        <f t="shared" si="30"/>
        <v>0</v>
      </c>
      <c r="E108" s="64">
        <f t="shared" si="30"/>
        <v>0</v>
      </c>
      <c r="F108" s="64">
        <f t="shared" si="30"/>
        <v>0</v>
      </c>
      <c r="G108" s="54"/>
      <c r="H108" s="119"/>
      <c r="I108" s="54"/>
      <c r="J108" s="54"/>
      <c r="K108" s="54"/>
      <c r="L108" s="119"/>
      <c r="M108" s="54"/>
      <c r="N108" s="180"/>
    </row>
    <row r="109" spans="1:14" s="38" customFormat="1" ht="25.5" x14ac:dyDescent="0.2">
      <c r="A109" s="25"/>
      <c r="B109" s="320" t="s">
        <v>126</v>
      </c>
      <c r="C109" s="64">
        <f t="shared" si="30"/>
        <v>0</v>
      </c>
      <c r="D109" s="64">
        <f t="shared" si="30"/>
        <v>0</v>
      </c>
      <c r="E109" s="64">
        <f t="shared" si="30"/>
        <v>0</v>
      </c>
      <c r="F109" s="64">
        <f t="shared" si="30"/>
        <v>0</v>
      </c>
      <c r="G109" s="54"/>
      <c r="H109" s="119"/>
      <c r="I109" s="54"/>
      <c r="J109" s="54"/>
      <c r="K109" s="54"/>
      <c r="L109" s="119"/>
      <c r="M109" s="54"/>
      <c r="N109" s="180"/>
    </row>
    <row r="110" spans="1:14" s="38" customFormat="1" ht="25.5" x14ac:dyDescent="0.2">
      <c r="A110" s="25"/>
      <c r="B110" s="320" t="s">
        <v>128</v>
      </c>
      <c r="C110" s="64">
        <f>G110+K110+O110</f>
        <v>0</v>
      </c>
      <c r="D110" s="64">
        <f>H110+L110+P110</f>
        <v>0</v>
      </c>
      <c r="E110" s="64">
        <f>I110+M110+Q110</f>
        <v>0</v>
      </c>
      <c r="F110" s="64">
        <f>J110+N110+R110</f>
        <v>0</v>
      </c>
      <c r="G110" s="54"/>
      <c r="H110" s="119"/>
      <c r="I110" s="54"/>
      <c r="J110" s="54"/>
      <c r="K110" s="54"/>
      <c r="L110" s="119"/>
      <c r="M110" s="54"/>
      <c r="N110" s="180"/>
    </row>
    <row r="111" spans="1:14" s="38" customFormat="1" x14ac:dyDescent="0.2">
      <c r="A111" s="25"/>
      <c r="B111" s="320" t="s">
        <v>130</v>
      </c>
      <c r="C111" s="64">
        <f t="shared" si="30"/>
        <v>0</v>
      </c>
      <c r="D111" s="64">
        <f t="shared" si="30"/>
        <v>0</v>
      </c>
      <c r="E111" s="64">
        <f t="shared" si="30"/>
        <v>0</v>
      </c>
      <c r="F111" s="64">
        <f t="shared" si="30"/>
        <v>0</v>
      </c>
      <c r="G111" s="54"/>
      <c r="H111" s="119"/>
      <c r="I111" s="54"/>
      <c r="J111" s="54"/>
      <c r="K111" s="54"/>
      <c r="L111" s="119"/>
      <c r="M111" s="54"/>
      <c r="N111" s="180"/>
    </row>
    <row r="112" spans="1:14" s="38" customFormat="1" x14ac:dyDescent="0.2">
      <c r="A112" s="25"/>
      <c r="B112" s="320" t="s">
        <v>280</v>
      </c>
      <c r="C112" s="64">
        <f t="shared" ref="C112:F114" si="32">G112+K112+O112</f>
        <v>0</v>
      </c>
      <c r="D112" s="64">
        <f t="shared" si="32"/>
        <v>0</v>
      </c>
      <c r="E112" s="64">
        <f t="shared" si="32"/>
        <v>0</v>
      </c>
      <c r="F112" s="64">
        <f t="shared" si="32"/>
        <v>0</v>
      </c>
      <c r="G112" s="54"/>
      <c r="H112" s="119"/>
      <c r="I112" s="54"/>
      <c r="J112" s="54"/>
      <c r="K112" s="54"/>
      <c r="L112" s="119"/>
      <c r="M112" s="54"/>
      <c r="N112" s="180"/>
    </row>
    <row r="113" spans="1:14" s="38" customFormat="1" x14ac:dyDescent="0.2">
      <c r="A113" s="25"/>
      <c r="B113" s="320" t="s">
        <v>133</v>
      </c>
      <c r="C113" s="64">
        <f t="shared" si="32"/>
        <v>0</v>
      </c>
      <c r="D113" s="64">
        <f t="shared" si="32"/>
        <v>0</v>
      </c>
      <c r="E113" s="64">
        <f t="shared" si="32"/>
        <v>0</v>
      </c>
      <c r="F113" s="64">
        <f t="shared" si="32"/>
        <v>0</v>
      </c>
      <c r="G113" s="54"/>
      <c r="H113" s="119"/>
      <c r="I113" s="54"/>
      <c r="J113" s="54"/>
      <c r="K113" s="54"/>
      <c r="L113" s="119"/>
      <c r="M113" s="54"/>
      <c r="N113" s="180"/>
    </row>
    <row r="114" spans="1:14" s="141" customFormat="1" x14ac:dyDescent="0.2">
      <c r="A114" s="25"/>
      <c r="B114" s="208" t="s">
        <v>134</v>
      </c>
      <c r="C114" s="64">
        <f t="shared" si="32"/>
        <v>0</v>
      </c>
      <c r="D114" s="64">
        <f t="shared" si="32"/>
        <v>0</v>
      </c>
      <c r="E114" s="64">
        <f t="shared" si="32"/>
        <v>0</v>
      </c>
      <c r="F114" s="64">
        <f t="shared" si="32"/>
        <v>0</v>
      </c>
      <c r="G114" s="54"/>
      <c r="H114" s="119"/>
      <c r="I114" s="54"/>
      <c r="J114" s="54"/>
      <c r="K114" s="54"/>
      <c r="L114" s="119"/>
      <c r="M114" s="54"/>
      <c r="N114" s="180"/>
    </row>
    <row r="115" spans="1:14" s="141" customFormat="1" x14ac:dyDescent="0.2">
      <c r="A115" s="25"/>
      <c r="B115" s="208" t="s">
        <v>135</v>
      </c>
      <c r="C115" s="64"/>
      <c r="D115" s="64"/>
      <c r="E115" s="64"/>
      <c r="F115" s="64"/>
      <c r="G115" s="54"/>
      <c r="H115" s="119"/>
      <c r="I115" s="54"/>
      <c r="J115" s="54"/>
      <c r="K115" s="54"/>
      <c r="L115" s="119"/>
      <c r="M115" s="54"/>
      <c r="N115" s="180"/>
    </row>
    <row r="116" spans="1:14" s="141" customFormat="1" ht="25.5" x14ac:dyDescent="0.2">
      <c r="A116" s="25"/>
      <c r="B116" s="208" t="s">
        <v>136</v>
      </c>
      <c r="C116" s="64"/>
      <c r="D116" s="64">
        <f>H116+L116+P116</f>
        <v>0</v>
      </c>
      <c r="E116" s="64">
        <f>I116+M116+Q116</f>
        <v>0</v>
      </c>
      <c r="F116" s="64">
        <f>J116+N116+R116</f>
        <v>0</v>
      </c>
      <c r="G116" s="54"/>
      <c r="H116" s="119"/>
      <c r="I116" s="54"/>
      <c r="J116" s="54"/>
      <c r="K116" s="54"/>
      <c r="L116" s="119"/>
      <c r="M116" s="54"/>
      <c r="N116" s="180"/>
    </row>
    <row r="117" spans="1:14" s="38" customFormat="1" x14ac:dyDescent="0.2">
      <c r="A117" s="25"/>
      <c r="B117" s="205" t="s">
        <v>137</v>
      </c>
      <c r="C117" s="64">
        <f t="shared" ref="C117:F122" si="33">G117+K117+O117</f>
        <v>0</v>
      </c>
      <c r="D117" s="64">
        <f t="shared" si="33"/>
        <v>0</v>
      </c>
      <c r="E117" s="64">
        <f t="shared" si="33"/>
        <v>0</v>
      </c>
      <c r="F117" s="64">
        <f t="shared" si="33"/>
        <v>0</v>
      </c>
      <c r="G117" s="54"/>
      <c r="H117" s="119"/>
      <c r="I117" s="54"/>
      <c r="J117" s="54"/>
      <c r="K117" s="54"/>
      <c r="L117" s="119"/>
      <c r="M117" s="54"/>
      <c r="N117" s="180"/>
    </row>
    <row r="118" spans="1:14" s="38" customFormat="1" x14ac:dyDescent="0.2">
      <c r="A118" s="25"/>
      <c r="B118" s="205" t="s">
        <v>138</v>
      </c>
      <c r="C118" s="64">
        <f t="shared" si="33"/>
        <v>0</v>
      </c>
      <c r="D118" s="64">
        <f t="shared" si="33"/>
        <v>0</v>
      </c>
      <c r="E118" s="64">
        <f t="shared" si="33"/>
        <v>0</v>
      </c>
      <c r="F118" s="64">
        <f t="shared" si="33"/>
        <v>0</v>
      </c>
      <c r="G118" s="54"/>
      <c r="H118" s="119"/>
      <c r="I118" s="54"/>
      <c r="J118" s="54"/>
      <c r="K118" s="54"/>
      <c r="L118" s="119"/>
      <c r="M118" s="54"/>
      <c r="N118" s="180"/>
    </row>
    <row r="119" spans="1:14" s="38" customFormat="1" x14ac:dyDescent="0.2">
      <c r="A119" s="25"/>
      <c r="B119" s="48" t="s">
        <v>139</v>
      </c>
      <c r="C119" s="64">
        <f t="shared" si="33"/>
        <v>0</v>
      </c>
      <c r="D119" s="64">
        <f t="shared" si="33"/>
        <v>0</v>
      </c>
      <c r="E119" s="64">
        <f t="shared" si="33"/>
        <v>0</v>
      </c>
      <c r="F119" s="64">
        <f t="shared" si="33"/>
        <v>0</v>
      </c>
      <c r="G119" s="54"/>
      <c r="H119" s="119"/>
      <c r="I119" s="54"/>
      <c r="J119" s="54"/>
      <c r="K119" s="54"/>
      <c r="L119" s="119"/>
      <c r="M119" s="54"/>
      <c r="N119" s="180"/>
    </row>
    <row r="120" spans="1:14" s="38" customFormat="1" x14ac:dyDescent="0.2">
      <c r="A120" s="25"/>
      <c r="B120" s="48" t="s">
        <v>140</v>
      </c>
      <c r="C120" s="64">
        <f t="shared" si="33"/>
        <v>0</v>
      </c>
      <c r="D120" s="64">
        <f t="shared" si="33"/>
        <v>0</v>
      </c>
      <c r="E120" s="64">
        <f t="shared" si="33"/>
        <v>0</v>
      </c>
      <c r="F120" s="64">
        <f t="shared" si="33"/>
        <v>0</v>
      </c>
      <c r="G120" s="54"/>
      <c r="H120" s="119"/>
      <c r="I120" s="54"/>
      <c r="J120" s="54"/>
      <c r="K120" s="54"/>
      <c r="L120" s="119"/>
      <c r="M120" s="54"/>
      <c r="N120" s="180"/>
    </row>
    <row r="121" spans="1:14" s="38" customFormat="1" x14ac:dyDescent="0.2">
      <c r="A121" s="25"/>
      <c r="B121" s="48" t="s">
        <v>141</v>
      </c>
      <c r="C121" s="64">
        <f t="shared" si="33"/>
        <v>0</v>
      </c>
      <c r="D121" s="64">
        <f t="shared" si="33"/>
        <v>0</v>
      </c>
      <c r="E121" s="64">
        <f t="shared" si="33"/>
        <v>0</v>
      </c>
      <c r="F121" s="64">
        <f t="shared" si="33"/>
        <v>0</v>
      </c>
      <c r="G121" s="54"/>
      <c r="H121" s="119"/>
      <c r="I121" s="54"/>
      <c r="J121" s="54"/>
      <c r="K121" s="54"/>
      <c r="L121" s="119"/>
      <c r="M121" s="54"/>
      <c r="N121" s="180"/>
    </row>
    <row r="122" spans="1:14" s="38" customFormat="1" x14ac:dyDescent="0.2">
      <c r="A122" s="25"/>
      <c r="B122" s="48" t="s">
        <v>142</v>
      </c>
      <c r="C122" s="64">
        <f t="shared" si="33"/>
        <v>0</v>
      </c>
      <c r="D122" s="64">
        <f t="shared" si="33"/>
        <v>0</v>
      </c>
      <c r="E122" s="64">
        <f t="shared" si="33"/>
        <v>0</v>
      </c>
      <c r="F122" s="64">
        <f t="shared" si="33"/>
        <v>0</v>
      </c>
      <c r="G122" s="54"/>
      <c r="H122" s="119"/>
      <c r="I122" s="54"/>
      <c r="J122" s="54"/>
      <c r="K122" s="54"/>
      <c r="L122" s="119"/>
      <c r="M122" s="54"/>
      <c r="N122" s="180"/>
    </row>
    <row r="123" spans="1:14" s="38" customFormat="1" x14ac:dyDescent="0.2">
      <c r="A123" s="25"/>
      <c r="B123" s="205" t="s">
        <v>143</v>
      </c>
      <c r="C123" s="64">
        <f t="shared" ref="C123:F123" si="34">G123+K123+O123</f>
        <v>0</v>
      </c>
      <c r="D123" s="64">
        <f t="shared" si="34"/>
        <v>0</v>
      </c>
      <c r="E123" s="64">
        <f t="shared" si="34"/>
        <v>0</v>
      </c>
      <c r="F123" s="64">
        <f t="shared" si="34"/>
        <v>0</v>
      </c>
      <c r="G123" s="54"/>
      <c r="H123" s="119"/>
      <c r="I123" s="54"/>
      <c r="J123" s="54"/>
      <c r="K123" s="54"/>
      <c r="L123" s="119"/>
      <c r="M123" s="54"/>
      <c r="N123" s="180"/>
    </row>
    <row r="124" spans="1:14" s="38" customFormat="1" x14ac:dyDescent="0.2">
      <c r="A124" s="25"/>
      <c r="B124" s="48" t="s">
        <v>144</v>
      </c>
      <c r="C124" s="64">
        <f t="shared" si="30"/>
        <v>0</v>
      </c>
      <c r="D124" s="64">
        <f t="shared" si="30"/>
        <v>0</v>
      </c>
      <c r="E124" s="64">
        <f t="shared" si="30"/>
        <v>0</v>
      </c>
      <c r="F124" s="64">
        <f t="shared" si="30"/>
        <v>0</v>
      </c>
      <c r="G124" s="54"/>
      <c r="H124" s="119"/>
      <c r="I124" s="54"/>
      <c r="J124" s="54"/>
      <c r="K124" s="54"/>
      <c r="L124" s="119"/>
      <c r="M124" s="54"/>
      <c r="N124" s="180"/>
    </row>
    <row r="125" spans="1:14" s="38" customFormat="1" ht="38.25" x14ac:dyDescent="0.2">
      <c r="A125" s="25"/>
      <c r="B125" s="205" t="s">
        <v>145</v>
      </c>
      <c r="C125" s="64">
        <f>G125+K125+O125</f>
        <v>0</v>
      </c>
      <c r="D125" s="64">
        <f>H125+L125+P125</f>
        <v>0</v>
      </c>
      <c r="E125" s="64">
        <f>I125+M125+Q125</f>
        <v>0</v>
      </c>
      <c r="F125" s="64">
        <f>J125+N125+R125</f>
        <v>0</v>
      </c>
      <c r="G125" s="54"/>
      <c r="H125" s="119"/>
      <c r="I125" s="54"/>
      <c r="J125" s="54"/>
      <c r="K125" s="54"/>
      <c r="L125" s="119"/>
      <c r="M125" s="54"/>
      <c r="N125" s="180"/>
    </row>
    <row r="126" spans="1:14" s="38" customFormat="1" x14ac:dyDescent="0.2">
      <c r="A126" s="25"/>
      <c r="B126" s="205" t="s">
        <v>146</v>
      </c>
      <c r="C126" s="64"/>
      <c r="D126" s="64"/>
      <c r="E126" s="64"/>
      <c r="F126" s="64"/>
      <c r="G126" s="54"/>
      <c r="H126" s="119"/>
      <c r="I126" s="54"/>
      <c r="J126" s="54"/>
      <c r="K126" s="54"/>
      <c r="L126" s="119"/>
      <c r="M126" s="54"/>
      <c r="N126" s="180"/>
    </row>
    <row r="127" spans="1:14" s="38" customFormat="1" x14ac:dyDescent="0.2">
      <c r="A127" s="25"/>
      <c r="B127" s="205" t="s">
        <v>147</v>
      </c>
      <c r="C127" s="64"/>
      <c r="D127" s="64"/>
      <c r="E127" s="64"/>
      <c r="F127" s="64"/>
      <c r="G127" s="54"/>
      <c r="H127" s="119"/>
      <c r="I127" s="54"/>
      <c r="J127" s="54"/>
      <c r="K127" s="54"/>
      <c r="L127" s="119"/>
      <c r="M127" s="54"/>
      <c r="N127" s="180"/>
    </row>
    <row r="128" spans="1:14" s="38" customFormat="1" x14ac:dyDescent="0.2">
      <c r="A128" s="25"/>
      <c r="B128" s="205" t="s">
        <v>148</v>
      </c>
      <c r="C128" s="64"/>
      <c r="D128" s="64"/>
      <c r="E128" s="64"/>
      <c r="F128" s="64"/>
      <c r="G128" s="54"/>
      <c r="H128" s="119"/>
      <c r="I128" s="54"/>
      <c r="J128" s="54"/>
      <c r="K128" s="54"/>
      <c r="L128" s="119"/>
      <c r="M128" s="54"/>
      <c r="N128" s="180"/>
    </row>
    <row r="129" spans="1:14" s="53" customFormat="1" ht="25.5" x14ac:dyDescent="0.2">
      <c r="A129" s="25"/>
      <c r="B129" s="205" t="s">
        <v>149</v>
      </c>
      <c r="C129" s="64">
        <f t="shared" ref="C129:C132" si="35">G129+K129+O129</f>
        <v>0</v>
      </c>
      <c r="D129" s="64">
        <f t="shared" ref="D129:D132" si="36">H129+L129+P129</f>
        <v>0</v>
      </c>
      <c r="E129" s="64">
        <f t="shared" ref="E129:E132" si="37">I129+M129+Q129</f>
        <v>0</v>
      </c>
      <c r="F129" s="64">
        <f t="shared" ref="F129:F132" si="38">J129+N129+R129</f>
        <v>0</v>
      </c>
      <c r="G129" s="54"/>
      <c r="H129" s="119"/>
      <c r="I129" s="54"/>
      <c r="J129" s="54"/>
      <c r="K129" s="54"/>
      <c r="L129" s="119"/>
      <c r="M129" s="54"/>
      <c r="N129" s="180"/>
    </row>
    <row r="130" spans="1:14" s="38" customFormat="1" x14ac:dyDescent="0.2">
      <c r="A130" s="25"/>
      <c r="B130" s="205" t="s">
        <v>150</v>
      </c>
      <c r="C130" s="64">
        <f t="shared" si="35"/>
        <v>0</v>
      </c>
      <c r="D130" s="64">
        <f t="shared" si="36"/>
        <v>0</v>
      </c>
      <c r="E130" s="64">
        <f t="shared" si="37"/>
        <v>0</v>
      </c>
      <c r="F130" s="64">
        <f t="shared" si="38"/>
        <v>0</v>
      </c>
      <c r="G130" s="54"/>
      <c r="H130" s="119"/>
      <c r="I130" s="54"/>
      <c r="J130" s="54"/>
      <c r="K130" s="54"/>
      <c r="L130" s="119"/>
      <c r="M130" s="54"/>
      <c r="N130" s="180"/>
    </row>
    <row r="131" spans="1:14" s="38" customFormat="1" ht="15" x14ac:dyDescent="0.25">
      <c r="A131" s="25"/>
      <c r="B131" s="205" t="s">
        <v>151</v>
      </c>
      <c r="C131" s="64">
        <f t="shared" si="35"/>
        <v>1</v>
      </c>
      <c r="D131" s="64">
        <f t="shared" si="36"/>
        <v>10000</v>
      </c>
      <c r="E131" s="64">
        <f t="shared" si="37"/>
        <v>0</v>
      </c>
      <c r="F131" s="64">
        <f t="shared" si="38"/>
        <v>0</v>
      </c>
      <c r="G131" s="47">
        <v>1</v>
      </c>
      <c r="H131" s="119">
        <f>G131*10000</f>
        <v>10000</v>
      </c>
      <c r="I131" s="54"/>
      <c r="J131" s="54"/>
      <c r="K131" s="54"/>
      <c r="L131" s="119"/>
      <c r="M131" s="54"/>
      <c r="N131" s="180"/>
    </row>
    <row r="132" spans="1:14" s="38" customFormat="1" ht="13.5" thickBot="1" x14ac:dyDescent="0.25">
      <c r="A132" s="181"/>
      <c r="B132" s="182" t="s">
        <v>152</v>
      </c>
      <c r="C132" s="239">
        <f t="shared" si="35"/>
        <v>0</v>
      </c>
      <c r="D132" s="239">
        <f t="shared" si="36"/>
        <v>0</v>
      </c>
      <c r="E132" s="239">
        <f t="shared" si="37"/>
        <v>0</v>
      </c>
      <c r="F132" s="239">
        <f t="shared" si="38"/>
        <v>0</v>
      </c>
      <c r="G132" s="200"/>
      <c r="H132" s="184"/>
      <c r="I132" s="200"/>
      <c r="J132" s="200"/>
      <c r="K132" s="200"/>
      <c r="L132" s="184"/>
      <c r="M132" s="200"/>
      <c r="N132" s="186"/>
    </row>
    <row r="133" spans="1:14" ht="13.5" thickBot="1" x14ac:dyDescent="0.25">
      <c r="A133" s="278"/>
      <c r="B133" s="233" t="s">
        <v>160</v>
      </c>
      <c r="C133" s="234">
        <f t="shared" ref="C133:N133" si="39">SUM(C94:C132)</f>
        <v>1</v>
      </c>
      <c r="D133" s="234">
        <f t="shared" si="39"/>
        <v>10000</v>
      </c>
      <c r="E133" s="234">
        <f t="shared" si="39"/>
        <v>0</v>
      </c>
      <c r="F133" s="234">
        <f t="shared" si="39"/>
        <v>0</v>
      </c>
      <c r="G133" s="234">
        <f t="shared" si="39"/>
        <v>1</v>
      </c>
      <c r="H133" s="234">
        <f t="shared" si="39"/>
        <v>10000</v>
      </c>
      <c r="I133" s="234">
        <f t="shared" si="39"/>
        <v>0</v>
      </c>
      <c r="J133" s="234">
        <f t="shared" si="39"/>
        <v>0</v>
      </c>
      <c r="K133" s="234">
        <f t="shared" si="39"/>
        <v>0</v>
      </c>
      <c r="L133" s="234">
        <f t="shared" si="39"/>
        <v>0</v>
      </c>
      <c r="M133" s="234">
        <f t="shared" si="39"/>
        <v>0</v>
      </c>
      <c r="N133" s="234">
        <f t="shared" si="39"/>
        <v>0</v>
      </c>
    </row>
    <row r="134" spans="1:14" s="38" customFormat="1" x14ac:dyDescent="0.2">
      <c r="A134" s="210" t="s">
        <v>11</v>
      </c>
      <c r="B134" s="211" t="s">
        <v>153</v>
      </c>
      <c r="C134" s="213"/>
      <c r="D134" s="213"/>
      <c r="E134" s="213"/>
      <c r="F134" s="213"/>
      <c r="G134" s="213"/>
      <c r="H134" s="178"/>
      <c r="I134" s="213"/>
      <c r="J134" s="213"/>
      <c r="K134" s="213"/>
      <c r="L134" s="178"/>
      <c r="M134" s="213"/>
      <c r="N134" s="214"/>
    </row>
    <row r="135" spans="1:14" s="38" customFormat="1" ht="25.5" x14ac:dyDescent="0.25">
      <c r="A135" s="25"/>
      <c r="B135" s="205" t="s">
        <v>163</v>
      </c>
      <c r="C135" s="64">
        <f>G135+K135</f>
        <v>2</v>
      </c>
      <c r="D135" s="64">
        <f>H135+L135</f>
        <v>250000</v>
      </c>
      <c r="E135" s="64">
        <f>I135+M135</f>
        <v>0</v>
      </c>
      <c r="F135" s="64">
        <f>J135+N135</f>
        <v>0</v>
      </c>
      <c r="G135" s="47">
        <v>2</v>
      </c>
      <c r="H135" s="119">
        <v>250000</v>
      </c>
      <c r="I135" s="54"/>
      <c r="J135" s="54"/>
      <c r="K135" s="47"/>
      <c r="L135" s="47"/>
      <c r="M135" s="54"/>
      <c r="N135" s="180"/>
    </row>
    <row r="136" spans="1:14" s="38" customFormat="1" x14ac:dyDescent="0.2">
      <c r="A136" s="25"/>
      <c r="B136" s="205" t="s">
        <v>164</v>
      </c>
      <c r="C136" s="64">
        <f t="shared" ref="C136:C165" si="40">G136+K136</f>
        <v>0</v>
      </c>
      <c r="D136" s="64">
        <f t="shared" ref="D136:D165" si="41">H136+L136</f>
        <v>0</v>
      </c>
      <c r="E136" s="64">
        <f t="shared" ref="E136:E165" si="42">I136+M136</f>
        <v>0</v>
      </c>
      <c r="F136" s="64">
        <f t="shared" ref="F136:F165" si="43">J136+N136</f>
        <v>0</v>
      </c>
      <c r="G136" s="54"/>
      <c r="H136" s="119"/>
      <c r="I136" s="54"/>
      <c r="J136" s="54"/>
      <c r="K136" s="54"/>
      <c r="L136" s="119"/>
      <c r="M136" s="54"/>
      <c r="N136" s="180"/>
    </row>
    <row r="137" spans="1:14" s="38" customFormat="1" x14ac:dyDescent="0.2">
      <c r="A137" s="25"/>
      <c r="B137" s="205" t="s">
        <v>165</v>
      </c>
      <c r="C137" s="64">
        <f t="shared" si="40"/>
        <v>0</v>
      </c>
      <c r="D137" s="64">
        <f t="shared" si="41"/>
        <v>0</v>
      </c>
      <c r="E137" s="64">
        <f t="shared" si="42"/>
        <v>0</v>
      </c>
      <c r="F137" s="64">
        <f t="shared" si="43"/>
        <v>0</v>
      </c>
      <c r="G137" s="54"/>
      <c r="H137" s="119"/>
      <c r="I137" s="54"/>
      <c r="J137" s="54"/>
      <c r="K137" s="54"/>
      <c r="L137" s="119"/>
      <c r="M137" s="54"/>
      <c r="N137" s="180"/>
    </row>
    <row r="138" spans="1:14" s="38" customFormat="1" ht="15" x14ac:dyDescent="0.25">
      <c r="A138" s="25"/>
      <c r="B138" s="205" t="s">
        <v>166</v>
      </c>
      <c r="C138" s="64">
        <f t="shared" si="40"/>
        <v>7</v>
      </c>
      <c r="D138" s="64">
        <f t="shared" si="41"/>
        <v>205000</v>
      </c>
      <c r="E138" s="64">
        <f t="shared" si="42"/>
        <v>0</v>
      </c>
      <c r="F138" s="64">
        <f t="shared" si="43"/>
        <v>0</v>
      </c>
      <c r="G138" s="47">
        <v>7</v>
      </c>
      <c r="H138" s="119">
        <v>205000</v>
      </c>
      <c r="I138" s="54"/>
      <c r="J138" s="54"/>
      <c r="K138" s="47"/>
      <c r="L138" s="47"/>
      <c r="M138" s="54"/>
      <c r="N138" s="180"/>
    </row>
    <row r="139" spans="1:14" s="38" customFormat="1" ht="25.5" x14ac:dyDescent="0.25">
      <c r="A139" s="25"/>
      <c r="B139" s="205" t="s">
        <v>167</v>
      </c>
      <c r="C139" s="64">
        <f t="shared" si="40"/>
        <v>0</v>
      </c>
      <c r="D139" s="64">
        <f t="shared" si="41"/>
        <v>0</v>
      </c>
      <c r="E139" s="64">
        <f t="shared" si="42"/>
        <v>0</v>
      </c>
      <c r="F139" s="64">
        <f t="shared" si="43"/>
        <v>0</v>
      </c>
      <c r="G139" s="54"/>
      <c r="H139" s="119"/>
      <c r="I139" s="54"/>
      <c r="J139" s="54"/>
      <c r="K139" s="47"/>
      <c r="L139" s="47"/>
      <c r="M139" s="54"/>
      <c r="N139" s="180"/>
    </row>
    <row r="140" spans="1:14" s="38" customFormat="1" x14ac:dyDescent="0.2">
      <c r="A140" s="25"/>
      <c r="B140" s="40" t="s">
        <v>168</v>
      </c>
      <c r="C140" s="64">
        <f t="shared" si="40"/>
        <v>0</v>
      </c>
      <c r="D140" s="64">
        <f t="shared" si="41"/>
        <v>0</v>
      </c>
      <c r="E140" s="64">
        <f t="shared" si="42"/>
        <v>0</v>
      </c>
      <c r="F140" s="64">
        <f t="shared" si="43"/>
        <v>0</v>
      </c>
      <c r="G140" s="54"/>
      <c r="H140" s="119"/>
      <c r="I140" s="54"/>
      <c r="J140" s="54"/>
      <c r="K140" s="54"/>
      <c r="L140" s="119"/>
      <c r="M140" s="54"/>
      <c r="N140" s="180"/>
    </row>
    <row r="141" spans="1:14" s="38" customFormat="1" ht="15" x14ac:dyDescent="0.25">
      <c r="A141" s="25"/>
      <c r="B141" s="40" t="s">
        <v>169</v>
      </c>
      <c r="C141" s="64">
        <f t="shared" si="40"/>
        <v>4</v>
      </c>
      <c r="D141" s="64">
        <f t="shared" si="41"/>
        <v>200000</v>
      </c>
      <c r="E141" s="64">
        <f t="shared" si="42"/>
        <v>0</v>
      </c>
      <c r="F141" s="64">
        <f t="shared" si="43"/>
        <v>0</v>
      </c>
      <c r="G141" s="54">
        <v>4</v>
      </c>
      <c r="H141" s="119">
        <v>200000</v>
      </c>
      <c r="I141" s="54"/>
      <c r="J141" s="54"/>
      <c r="K141" s="47"/>
      <c r="L141" s="47"/>
      <c r="M141" s="54"/>
      <c r="N141" s="180"/>
    </row>
    <row r="142" spans="1:14" s="38" customFormat="1" x14ac:dyDescent="0.2">
      <c r="A142" s="25"/>
      <c r="B142" s="40" t="s">
        <v>170</v>
      </c>
      <c r="C142" s="64">
        <f t="shared" si="40"/>
        <v>2</v>
      </c>
      <c r="D142" s="64">
        <f t="shared" si="41"/>
        <v>180000</v>
      </c>
      <c r="E142" s="64">
        <f t="shared" si="42"/>
        <v>0</v>
      </c>
      <c r="F142" s="64">
        <f t="shared" si="43"/>
        <v>0</v>
      </c>
      <c r="G142" s="54">
        <v>2</v>
      </c>
      <c r="H142" s="119">
        <v>180000</v>
      </c>
      <c r="I142" s="54"/>
      <c r="J142" s="54"/>
      <c r="K142" s="54"/>
      <c r="L142" s="119"/>
      <c r="M142" s="54"/>
      <c r="N142" s="180"/>
    </row>
    <row r="143" spans="1:14" s="38" customFormat="1" x14ac:dyDescent="0.2">
      <c r="A143" s="25"/>
      <c r="B143" s="40" t="s">
        <v>277</v>
      </c>
      <c r="C143" s="64"/>
      <c r="D143" s="64"/>
      <c r="E143" s="64"/>
      <c r="F143" s="64"/>
      <c r="G143" s="54"/>
      <c r="H143" s="119"/>
      <c r="I143" s="54"/>
      <c r="J143" s="54"/>
      <c r="K143" s="54"/>
      <c r="L143" s="119"/>
      <c r="M143" s="54"/>
      <c r="N143" s="180"/>
    </row>
    <row r="144" spans="1:14" s="38" customFormat="1" x14ac:dyDescent="0.2">
      <c r="A144" s="25"/>
      <c r="B144" s="40" t="s">
        <v>278</v>
      </c>
      <c r="C144" s="64"/>
      <c r="D144" s="64"/>
      <c r="E144" s="64"/>
      <c r="F144" s="64"/>
      <c r="G144" s="54"/>
      <c r="H144" s="119"/>
      <c r="I144" s="54"/>
      <c r="J144" s="54"/>
      <c r="K144" s="54"/>
      <c r="L144" s="119"/>
      <c r="M144" s="54"/>
      <c r="N144" s="180"/>
    </row>
    <row r="145" spans="1:14" s="38" customFormat="1" x14ac:dyDescent="0.2">
      <c r="A145" s="25"/>
      <c r="B145" s="40" t="s">
        <v>171</v>
      </c>
      <c r="C145" s="64">
        <f t="shared" si="40"/>
        <v>0</v>
      </c>
      <c r="D145" s="64">
        <f t="shared" si="41"/>
        <v>0</v>
      </c>
      <c r="E145" s="64">
        <f t="shared" si="42"/>
        <v>0</v>
      </c>
      <c r="F145" s="64">
        <f t="shared" si="43"/>
        <v>0</v>
      </c>
      <c r="G145" s="54"/>
      <c r="H145" s="119"/>
      <c r="I145" s="54"/>
      <c r="J145" s="54"/>
      <c r="K145" s="54"/>
      <c r="L145" s="119"/>
      <c r="M145" s="54"/>
      <c r="N145" s="180"/>
    </row>
    <row r="146" spans="1:14" s="38" customFormat="1" x14ac:dyDescent="0.2">
      <c r="A146" s="25"/>
      <c r="B146" s="24" t="s">
        <v>172</v>
      </c>
      <c r="C146" s="64">
        <f t="shared" si="40"/>
        <v>1</v>
      </c>
      <c r="D146" s="64">
        <f t="shared" si="41"/>
        <v>10000</v>
      </c>
      <c r="E146" s="64">
        <f t="shared" si="42"/>
        <v>0</v>
      </c>
      <c r="F146" s="64">
        <f t="shared" si="43"/>
        <v>0</v>
      </c>
      <c r="G146" s="54">
        <v>1</v>
      </c>
      <c r="H146" s="119">
        <v>10000</v>
      </c>
      <c r="I146" s="54"/>
      <c r="J146" s="54"/>
      <c r="K146" s="54"/>
      <c r="L146" s="119"/>
      <c r="M146" s="54"/>
      <c r="N146" s="180"/>
    </row>
    <row r="147" spans="1:14" s="38" customFormat="1" x14ac:dyDescent="0.2">
      <c r="A147" s="25"/>
      <c r="B147" s="40" t="s">
        <v>173</v>
      </c>
      <c r="C147" s="64">
        <f t="shared" si="40"/>
        <v>50</v>
      </c>
      <c r="D147" s="64">
        <f t="shared" si="41"/>
        <v>50000</v>
      </c>
      <c r="E147" s="64">
        <f t="shared" si="42"/>
        <v>0</v>
      </c>
      <c r="F147" s="64">
        <f t="shared" si="43"/>
        <v>0</v>
      </c>
      <c r="G147" s="54">
        <v>50</v>
      </c>
      <c r="H147" s="119">
        <v>50000</v>
      </c>
      <c r="I147" s="54"/>
      <c r="J147" s="54"/>
      <c r="K147" s="54"/>
      <c r="L147" s="119"/>
      <c r="M147" s="54"/>
      <c r="N147" s="180"/>
    </row>
    <row r="148" spans="1:14" s="38" customFormat="1" x14ac:dyDescent="0.2">
      <c r="A148" s="25"/>
      <c r="B148" s="40" t="s">
        <v>174</v>
      </c>
      <c r="C148" s="64">
        <f t="shared" si="40"/>
        <v>2</v>
      </c>
      <c r="D148" s="64">
        <f t="shared" si="41"/>
        <v>9000</v>
      </c>
      <c r="E148" s="64">
        <f t="shared" si="42"/>
        <v>0</v>
      </c>
      <c r="F148" s="64">
        <f t="shared" si="43"/>
        <v>0</v>
      </c>
      <c r="G148" s="54">
        <v>2</v>
      </c>
      <c r="H148" s="119">
        <v>9000</v>
      </c>
      <c r="I148" s="54"/>
      <c r="J148" s="54"/>
      <c r="K148" s="54"/>
      <c r="L148" s="119"/>
      <c r="M148" s="54"/>
      <c r="N148" s="180"/>
    </row>
    <row r="149" spans="1:14" s="38" customFormat="1" ht="15" x14ac:dyDescent="0.25">
      <c r="A149" s="25"/>
      <c r="B149" s="40" t="s">
        <v>175</v>
      </c>
      <c r="C149" s="64">
        <f t="shared" ref="C149:F151" si="44">G149+K149</f>
        <v>1</v>
      </c>
      <c r="D149" s="64">
        <f t="shared" si="44"/>
        <v>200000</v>
      </c>
      <c r="E149" s="64">
        <f t="shared" si="44"/>
        <v>0</v>
      </c>
      <c r="F149" s="64">
        <f t="shared" si="44"/>
        <v>0</v>
      </c>
      <c r="G149" s="54">
        <v>1</v>
      </c>
      <c r="H149" s="119">
        <v>200000</v>
      </c>
      <c r="I149" s="54"/>
      <c r="J149" s="54"/>
      <c r="K149" s="47"/>
      <c r="L149" s="47"/>
      <c r="M149" s="54"/>
      <c r="N149" s="180"/>
    </row>
    <row r="150" spans="1:14" s="38" customFormat="1" ht="25.5" x14ac:dyDescent="0.2">
      <c r="A150" s="25"/>
      <c r="B150" s="40" t="s">
        <v>176</v>
      </c>
      <c r="C150" s="64">
        <f t="shared" si="44"/>
        <v>0</v>
      </c>
      <c r="D150" s="64">
        <f t="shared" si="44"/>
        <v>0</v>
      </c>
      <c r="E150" s="64">
        <f t="shared" si="44"/>
        <v>0</v>
      </c>
      <c r="F150" s="64">
        <f t="shared" si="44"/>
        <v>0</v>
      </c>
      <c r="G150" s="54"/>
      <c r="H150" s="119"/>
      <c r="I150" s="54"/>
      <c r="J150" s="54"/>
      <c r="K150" s="54"/>
      <c r="L150" s="119"/>
      <c r="M150" s="54"/>
      <c r="N150" s="180"/>
    </row>
    <row r="151" spans="1:14" s="38" customFormat="1" x14ac:dyDescent="0.2">
      <c r="A151" s="25"/>
      <c r="B151" s="321" t="s">
        <v>177</v>
      </c>
      <c r="C151" s="64">
        <f t="shared" si="44"/>
        <v>0</v>
      </c>
      <c r="D151" s="64">
        <f t="shared" si="44"/>
        <v>0</v>
      </c>
      <c r="E151" s="64">
        <f t="shared" si="44"/>
        <v>0</v>
      </c>
      <c r="F151" s="64">
        <f t="shared" si="44"/>
        <v>0</v>
      </c>
      <c r="G151" s="54"/>
      <c r="H151" s="119"/>
      <c r="I151" s="54"/>
      <c r="J151" s="54"/>
      <c r="K151" s="54"/>
      <c r="L151" s="119"/>
      <c r="M151" s="54"/>
      <c r="N151" s="180"/>
    </row>
    <row r="152" spans="1:14" s="38" customFormat="1" x14ac:dyDescent="0.2">
      <c r="A152" s="25"/>
      <c r="B152" s="144" t="s">
        <v>178</v>
      </c>
      <c r="C152" s="64"/>
      <c r="D152" s="64"/>
      <c r="E152" s="64"/>
      <c r="F152" s="64"/>
      <c r="G152" s="54"/>
      <c r="H152" s="119"/>
      <c r="I152" s="54"/>
      <c r="J152" s="54"/>
      <c r="K152" s="54"/>
      <c r="L152" s="119"/>
      <c r="M152" s="54"/>
      <c r="N152" s="180"/>
    </row>
    <row r="153" spans="1:14" s="38" customFormat="1" x14ac:dyDescent="0.2">
      <c r="A153" s="25"/>
      <c r="B153" s="319" t="s">
        <v>179</v>
      </c>
      <c r="C153" s="64">
        <f t="shared" ref="C153:F154" si="45">G153+K153</f>
        <v>0</v>
      </c>
      <c r="D153" s="64">
        <f t="shared" si="45"/>
        <v>0</v>
      </c>
      <c r="E153" s="64">
        <f t="shared" si="45"/>
        <v>0</v>
      </c>
      <c r="F153" s="64">
        <f t="shared" si="45"/>
        <v>0</v>
      </c>
      <c r="G153" s="54"/>
      <c r="H153" s="119"/>
      <c r="I153" s="54"/>
      <c r="J153" s="54"/>
      <c r="K153" s="54"/>
      <c r="L153" s="119"/>
      <c r="M153" s="54"/>
      <c r="N153" s="180"/>
    </row>
    <row r="154" spans="1:14" s="38" customFormat="1" ht="25.5" x14ac:dyDescent="0.2">
      <c r="A154" s="25"/>
      <c r="B154" s="24" t="s">
        <v>180</v>
      </c>
      <c r="C154" s="64">
        <f t="shared" si="45"/>
        <v>0</v>
      </c>
      <c r="D154" s="64">
        <f t="shared" si="45"/>
        <v>0</v>
      </c>
      <c r="E154" s="64">
        <f t="shared" si="45"/>
        <v>0</v>
      </c>
      <c r="F154" s="64">
        <f t="shared" si="45"/>
        <v>0</v>
      </c>
      <c r="G154" s="54"/>
      <c r="H154" s="119"/>
      <c r="I154" s="54"/>
      <c r="J154" s="54"/>
      <c r="K154" s="54"/>
      <c r="L154" s="119"/>
      <c r="M154" s="54"/>
      <c r="N154" s="180"/>
    </row>
    <row r="155" spans="1:14" s="38" customFormat="1" x14ac:dyDescent="0.2">
      <c r="A155" s="25"/>
      <c r="B155" s="24" t="s">
        <v>181</v>
      </c>
      <c r="C155" s="64"/>
      <c r="D155" s="64"/>
      <c r="E155" s="64"/>
      <c r="F155" s="64"/>
      <c r="G155" s="54"/>
      <c r="H155" s="119"/>
      <c r="I155" s="54"/>
      <c r="J155" s="54"/>
      <c r="K155" s="54"/>
      <c r="L155" s="119"/>
      <c r="M155" s="54"/>
      <c r="N155" s="180"/>
    </row>
    <row r="156" spans="1:14" s="38" customFormat="1" ht="25.5" x14ac:dyDescent="0.2">
      <c r="A156" s="25"/>
      <c r="B156" s="24" t="s">
        <v>182</v>
      </c>
      <c r="C156" s="64">
        <f>G156+K156</f>
        <v>0</v>
      </c>
      <c r="D156" s="64">
        <f>H156+L156</f>
        <v>0</v>
      </c>
      <c r="E156" s="64">
        <f>I156+M156</f>
        <v>0</v>
      </c>
      <c r="F156" s="64">
        <f>J156+N156</f>
        <v>0</v>
      </c>
      <c r="G156" s="54"/>
      <c r="H156" s="119"/>
      <c r="I156" s="54"/>
      <c r="J156" s="54"/>
      <c r="K156" s="54"/>
      <c r="L156" s="119"/>
      <c r="M156" s="54"/>
      <c r="N156" s="180"/>
    </row>
    <row r="157" spans="1:14" s="38" customFormat="1" x14ac:dyDescent="0.2">
      <c r="A157" s="25"/>
      <c r="B157" s="24" t="s">
        <v>183</v>
      </c>
      <c r="C157" s="64">
        <f t="shared" ref="C157:C162" si="46">G157+K157</f>
        <v>0</v>
      </c>
      <c r="D157" s="64">
        <f t="shared" ref="D157:F162" si="47">H157+L157</f>
        <v>0</v>
      </c>
      <c r="E157" s="64">
        <f t="shared" si="47"/>
        <v>0</v>
      </c>
      <c r="F157" s="64">
        <f t="shared" si="47"/>
        <v>0</v>
      </c>
      <c r="G157" s="54"/>
      <c r="H157" s="119"/>
      <c r="I157" s="54"/>
      <c r="J157" s="54"/>
      <c r="K157" s="54"/>
      <c r="L157" s="119"/>
      <c r="M157" s="54"/>
      <c r="N157" s="180"/>
    </row>
    <row r="158" spans="1:14" s="38" customFormat="1" ht="25.5" x14ac:dyDescent="0.2">
      <c r="A158" s="25"/>
      <c r="B158" s="24" t="s">
        <v>184</v>
      </c>
      <c r="C158" s="64">
        <f t="shared" si="46"/>
        <v>0</v>
      </c>
      <c r="D158" s="64">
        <f t="shared" si="47"/>
        <v>0</v>
      </c>
      <c r="E158" s="64">
        <f t="shared" si="47"/>
        <v>0</v>
      </c>
      <c r="F158" s="64">
        <f t="shared" si="47"/>
        <v>0</v>
      </c>
      <c r="G158" s="54"/>
      <c r="H158" s="119"/>
      <c r="I158" s="54"/>
      <c r="J158" s="54"/>
      <c r="K158" s="54"/>
      <c r="L158" s="119"/>
      <c r="M158" s="54"/>
      <c r="N158" s="180"/>
    </row>
    <row r="159" spans="1:14" s="38" customFormat="1" ht="25.5" x14ac:dyDescent="0.2">
      <c r="A159" s="25"/>
      <c r="B159" s="24" t="s">
        <v>185</v>
      </c>
      <c r="C159" s="64">
        <f t="shared" si="46"/>
        <v>0</v>
      </c>
      <c r="D159" s="64">
        <f t="shared" si="47"/>
        <v>0</v>
      </c>
      <c r="E159" s="64">
        <f t="shared" si="47"/>
        <v>0</v>
      </c>
      <c r="F159" s="64">
        <f t="shared" si="47"/>
        <v>0</v>
      </c>
      <c r="G159" s="54"/>
      <c r="H159" s="119"/>
      <c r="I159" s="54"/>
      <c r="J159" s="54"/>
      <c r="K159" s="54"/>
      <c r="L159" s="119"/>
      <c r="M159" s="54"/>
      <c r="N159" s="180"/>
    </row>
    <row r="160" spans="1:14" s="38" customFormat="1" x14ac:dyDescent="0.2">
      <c r="A160" s="25"/>
      <c r="B160" s="319" t="s">
        <v>186</v>
      </c>
      <c r="C160" s="64">
        <f t="shared" si="46"/>
        <v>0</v>
      </c>
      <c r="D160" s="64">
        <f t="shared" si="47"/>
        <v>0</v>
      </c>
      <c r="E160" s="64">
        <f t="shared" si="47"/>
        <v>0</v>
      </c>
      <c r="F160" s="64">
        <f t="shared" si="47"/>
        <v>0</v>
      </c>
      <c r="G160" s="54"/>
      <c r="H160" s="119"/>
      <c r="I160" s="54"/>
      <c r="J160" s="54"/>
      <c r="K160" s="54"/>
      <c r="L160" s="119"/>
      <c r="M160" s="54"/>
      <c r="N160" s="180"/>
    </row>
    <row r="161" spans="1:14" s="38" customFormat="1" ht="25.5" x14ac:dyDescent="0.2">
      <c r="A161" s="25"/>
      <c r="B161" s="24" t="s">
        <v>187</v>
      </c>
      <c r="C161" s="64">
        <f t="shared" si="46"/>
        <v>0</v>
      </c>
      <c r="D161" s="64">
        <f t="shared" si="47"/>
        <v>0</v>
      </c>
      <c r="E161" s="64">
        <f t="shared" si="47"/>
        <v>0</v>
      </c>
      <c r="F161" s="64">
        <f t="shared" si="47"/>
        <v>0</v>
      </c>
      <c r="G161" s="54"/>
      <c r="H161" s="119"/>
      <c r="I161" s="54"/>
      <c r="J161" s="54"/>
      <c r="K161" s="54"/>
      <c r="L161" s="119"/>
      <c r="M161" s="54"/>
      <c r="N161" s="180"/>
    </row>
    <row r="162" spans="1:14" s="38" customFormat="1" x14ac:dyDescent="0.2">
      <c r="A162" s="25"/>
      <c r="B162" s="24" t="s">
        <v>188</v>
      </c>
      <c r="C162" s="64">
        <f t="shared" si="46"/>
        <v>0</v>
      </c>
      <c r="D162" s="64">
        <f t="shared" si="47"/>
        <v>0</v>
      </c>
      <c r="E162" s="64">
        <f t="shared" si="47"/>
        <v>0</v>
      </c>
      <c r="F162" s="64">
        <f t="shared" si="47"/>
        <v>0</v>
      </c>
      <c r="G162" s="54"/>
      <c r="H162" s="119"/>
      <c r="I162" s="54"/>
      <c r="J162" s="54"/>
      <c r="K162" s="54"/>
      <c r="L162" s="119"/>
      <c r="M162" s="54"/>
      <c r="N162" s="180"/>
    </row>
    <row r="163" spans="1:14" s="38" customFormat="1" x14ac:dyDescent="0.2">
      <c r="A163" s="25"/>
      <c r="B163" s="24" t="s">
        <v>189</v>
      </c>
      <c r="C163" s="64"/>
      <c r="D163" s="64"/>
      <c r="E163" s="64"/>
      <c r="F163" s="64"/>
      <c r="G163" s="54"/>
      <c r="H163" s="119"/>
      <c r="I163" s="54"/>
      <c r="J163" s="54"/>
      <c r="K163" s="54"/>
      <c r="L163" s="119"/>
      <c r="M163" s="54"/>
      <c r="N163" s="180"/>
    </row>
    <row r="164" spans="1:14" s="38" customFormat="1" x14ac:dyDescent="0.2">
      <c r="A164" s="25"/>
      <c r="B164" s="40" t="s">
        <v>190</v>
      </c>
      <c r="C164" s="64">
        <f t="shared" si="40"/>
        <v>0</v>
      </c>
      <c r="D164" s="64">
        <f t="shared" si="41"/>
        <v>0</v>
      </c>
      <c r="E164" s="64">
        <f t="shared" si="42"/>
        <v>0</v>
      </c>
      <c r="F164" s="64">
        <f t="shared" si="43"/>
        <v>0</v>
      </c>
      <c r="G164" s="54"/>
      <c r="H164" s="119"/>
      <c r="I164" s="54"/>
      <c r="J164" s="54"/>
      <c r="K164" s="54"/>
      <c r="L164" s="119"/>
      <c r="M164" s="54"/>
      <c r="N164" s="180"/>
    </row>
    <row r="165" spans="1:14" s="38" customFormat="1" ht="13.5" thickBot="1" x14ac:dyDescent="0.25">
      <c r="A165" s="25"/>
      <c r="B165" s="24" t="s">
        <v>191</v>
      </c>
      <c r="C165" s="64">
        <f t="shared" si="40"/>
        <v>2</v>
      </c>
      <c r="D165" s="64">
        <f t="shared" si="41"/>
        <v>70000</v>
      </c>
      <c r="E165" s="64">
        <f t="shared" si="42"/>
        <v>0</v>
      </c>
      <c r="F165" s="64">
        <f t="shared" si="43"/>
        <v>0</v>
      </c>
      <c r="G165" s="54">
        <v>2</v>
      </c>
      <c r="H165" s="119">
        <v>70000</v>
      </c>
      <c r="I165" s="54"/>
      <c r="J165" s="54"/>
      <c r="K165" s="54"/>
      <c r="L165" s="119"/>
      <c r="M165" s="54"/>
      <c r="N165" s="180"/>
    </row>
    <row r="166" spans="1:14" ht="13.5" thickBot="1" x14ac:dyDescent="0.25">
      <c r="A166" s="108"/>
      <c r="B166" s="169" t="s">
        <v>161</v>
      </c>
      <c r="C166" s="170">
        <f t="shared" ref="C166:N166" si="48">SUM(C135:C165)</f>
        <v>71</v>
      </c>
      <c r="D166" s="170">
        <f t="shared" si="48"/>
        <v>1174000</v>
      </c>
      <c r="E166" s="170">
        <f t="shared" si="48"/>
        <v>0</v>
      </c>
      <c r="F166" s="170">
        <f t="shared" si="48"/>
        <v>0</v>
      </c>
      <c r="G166" s="170">
        <f t="shared" si="48"/>
        <v>71</v>
      </c>
      <c r="H166" s="170">
        <f t="shared" si="48"/>
        <v>1174000</v>
      </c>
      <c r="I166" s="170">
        <f t="shared" si="48"/>
        <v>0</v>
      </c>
      <c r="J166" s="170">
        <f t="shared" si="48"/>
        <v>0</v>
      </c>
      <c r="K166" s="170">
        <f t="shared" si="48"/>
        <v>0</v>
      </c>
      <c r="L166" s="170">
        <f t="shared" si="48"/>
        <v>0</v>
      </c>
      <c r="M166" s="170">
        <f t="shared" si="48"/>
        <v>0</v>
      </c>
      <c r="N166" s="105">
        <f t="shared" si="48"/>
        <v>0</v>
      </c>
    </row>
    <row r="167" spans="1:14" s="38" customFormat="1" ht="13.5" thickBot="1" x14ac:dyDescent="0.25">
      <c r="A167" s="215"/>
      <c r="B167" s="253"/>
      <c r="C167" s="61"/>
      <c r="D167" s="217"/>
      <c r="E167" s="61"/>
      <c r="F167" s="61"/>
      <c r="G167" s="61"/>
      <c r="H167" s="217"/>
      <c r="I167" s="61"/>
      <c r="J167" s="61"/>
      <c r="K167" s="61"/>
      <c r="L167" s="217"/>
      <c r="M167" s="61"/>
      <c r="N167" s="61"/>
    </row>
    <row r="168" spans="1:14" ht="16.5" thickBot="1" x14ac:dyDescent="0.3">
      <c r="A168" s="218"/>
      <c r="B168" s="219" t="s">
        <v>162</v>
      </c>
      <c r="C168" s="220">
        <f t="shared" ref="C168:N168" si="49">C10+C48+C60+C73+C77+C92+C133+C166</f>
        <v>353</v>
      </c>
      <c r="D168" s="220">
        <f t="shared" si="49"/>
        <v>5625500</v>
      </c>
      <c r="E168" s="220">
        <f t="shared" si="49"/>
        <v>0</v>
      </c>
      <c r="F168" s="220">
        <f t="shared" si="49"/>
        <v>0</v>
      </c>
      <c r="G168" s="220">
        <f t="shared" si="49"/>
        <v>272</v>
      </c>
      <c r="H168" s="220">
        <f t="shared" si="49"/>
        <v>4454000</v>
      </c>
      <c r="I168" s="220">
        <f t="shared" si="49"/>
        <v>0</v>
      </c>
      <c r="J168" s="220">
        <f t="shared" si="49"/>
        <v>0</v>
      </c>
      <c r="K168" s="220">
        <f t="shared" si="49"/>
        <v>81</v>
      </c>
      <c r="L168" s="220">
        <f t="shared" si="49"/>
        <v>1171500</v>
      </c>
      <c r="M168" s="220">
        <f t="shared" si="49"/>
        <v>0</v>
      </c>
      <c r="N168" s="221">
        <f t="shared" si="49"/>
        <v>0</v>
      </c>
    </row>
    <row r="182" s="5" customFormat="1" x14ac:dyDescent="0.2"/>
    <row r="183" s="5" customFormat="1" x14ac:dyDescent="0.2"/>
  </sheetData>
  <mergeCells count="10">
    <mergeCell ref="E3:F3"/>
    <mergeCell ref="C3:D3"/>
    <mergeCell ref="G3:J3"/>
    <mergeCell ref="K3:N3"/>
    <mergeCell ref="C4:D4"/>
    <mergeCell ref="E4:F4"/>
    <mergeCell ref="G4:H4"/>
    <mergeCell ref="I4:J4"/>
    <mergeCell ref="K4:L4"/>
    <mergeCell ref="M4:N4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Печатга</vt:lpstr>
      <vt:lpstr>РЕСПУБЛИКА</vt:lpstr>
      <vt:lpstr>ОПЕРУ</vt:lpstr>
      <vt:lpstr>00075+</vt:lpstr>
      <vt:lpstr>00086+</vt:lpstr>
      <vt:lpstr>00868+</vt:lpstr>
      <vt:lpstr>00224+</vt:lpstr>
      <vt:lpstr>00207+</vt:lpstr>
      <vt:lpstr>00854</vt:lpstr>
      <vt:lpstr>00317</vt:lpstr>
      <vt:lpstr>01045</vt:lpstr>
      <vt:lpstr>00490</vt:lpstr>
      <vt:lpstr>00424</vt:lpstr>
      <vt:lpstr>00853</vt:lpstr>
      <vt:lpstr>00494</vt:lpstr>
      <vt:lpstr>00855</vt:lpstr>
      <vt:lpstr>01152</vt:lpstr>
      <vt:lpstr>ОПЕРУ!Заголовки_для_печати</vt:lpstr>
      <vt:lpstr>РЕСПУБЛИКА!Заголовки_для_печати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x.adilova</dc:creator>
  <cp:lastModifiedBy>Fazilat A. Xolmuhamedova</cp:lastModifiedBy>
  <cp:lastPrinted>2022-12-02T09:49:04Z</cp:lastPrinted>
  <dcterms:created xsi:type="dcterms:W3CDTF">2018-01-17T07:38:24Z</dcterms:created>
  <dcterms:modified xsi:type="dcterms:W3CDTF">2023-01-25T11:13:39Z</dcterms:modified>
</cp:coreProperties>
</file>